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DieseArbeitsmappe" defaultThemeVersion="124226"/>
  <mc:AlternateContent>
    <mc:Choice Requires="x15">
      <x15ac:absPath xmlns:x15ac="http://schemas.microsoft.com/office/spreadsheetml/2010/11/ac" url="C:\KPA\2025\Versand 2025\"/>
    </mc:Choice>
  </mc:AlternateContent>
  <xr:revisionPtr revIDLastSave="0" documentId="13_ncr:1_{F3F7A058-65E9-4DB2-8918-CE0F73EA4A8D}" xr6:coauthVersionLast="36" xr6:coauthVersionMax="47" xr10:uidLastSave="{00000000-0000-0000-0000-000000000000}"/>
  <workbookProtection workbookAlgorithmName="SHA-512" workbookHashValue="Bgg+nT6r8vJTk91BrJgHmjls5vuOSL9CZQcjpljUSfyHu+dsTrQgoesdFR/D8jbSjUXhRT++EAQwhqnur7wZWw==" workbookSaltValue="Evsgccgt5mZSbw5h5BbylA==" workbookSpinCount="100000" lockStructure="1"/>
  <bookViews>
    <workbookView xWindow="0" yWindow="0" windowWidth="28800" windowHeight="11370" tabRatio="1000" xr2:uid="{00000000-000D-0000-FFFF-FFFF00000000}"/>
  </bookViews>
  <sheets>
    <sheet name="KPA" sheetId="4" r:id="rId1"/>
    <sheet name="Fiktives Baujahr" sheetId="9" r:id="rId2"/>
    <sheet name="Verweise zu GAA und BRW und VW" sheetId="8" r:id="rId3"/>
    <sheet name="AfA_Berechnung" sheetId="10" state="hidden" r:id="rId4"/>
    <sheet name="Rechnerische THK-Erläuterung " sheetId="12" state="hidden" r:id="rId5"/>
    <sheet name="SW-NHK" sheetId="1" state="hidden" r:id="rId6"/>
    <sheet name="SW-Bau-Index" sheetId="5" state="hidden" r:id="rId7"/>
    <sheet name="EW-BWK" sheetId="16" state="hidden" r:id="rId8"/>
    <sheet name="EW-Bewertungsparameter" sheetId="15" state="hidden" r:id="rId9"/>
  </sheets>
  <definedNames>
    <definedName name="_xlnm.Print_Area" localSheetId="3">AfA_Berechnung!$B$15:$O$53</definedName>
    <definedName name="_xlnm.Print_Area" localSheetId="1">'Fiktives Baujahr'!$A$1:$H$78</definedName>
    <definedName name="_xlnm.Print_Area" localSheetId="0">KPA!$C$1:$M$124</definedName>
    <definedName name="_xlnm.Print_Area" localSheetId="4">'Rechnerische THK-Erläuterung '!$A$1:$M$80</definedName>
    <definedName name="_xlnm.Print_Area" localSheetId="2">'Verweise zu GAA und BRW und VW'!$A$1:$B$19</definedName>
    <definedName name="Z_B8FE7C60_7D84_469C_BE86_7AE2888FE41C_.wvu.Cols" localSheetId="1" hidden="1">'Fiktives Baujahr'!$E:$F</definedName>
    <definedName name="Z_B8FE7C60_7D84_469C_BE86_7AE2888FE41C_.wvu.Cols" localSheetId="5" hidden="1">'SW-NHK'!$C:$C,'SW-NHK'!$K:$K,'SW-NHK'!$O:$O,'SW-NHK'!$Q:$Q</definedName>
    <definedName name="Z_B8FE7C60_7D84_469C_BE86_7AE2888FE41C_.wvu.PrintArea" localSheetId="1" hidden="1">'Fiktives Baujahr'!$A$1:$H$78</definedName>
    <definedName name="Z_B8FE7C60_7D84_469C_BE86_7AE2888FE41C_.wvu.PrintArea" localSheetId="0" hidden="1">KPA!$C$2:$M$124</definedName>
    <definedName name="Z_B8FE7C60_7D84_469C_BE86_7AE2888FE41C_.wvu.Rows" localSheetId="1" hidden="1">'Fiktives Baujahr'!#REF!</definedName>
    <definedName name="Z_B8FE7C60_7D84_469C_BE86_7AE2888FE41C_.wvu.Rows" localSheetId="0" hidden="1">KPA!#REF!</definedName>
  </definedNames>
  <calcPr calcId="191029"/>
  <customWorkbookViews>
    <customWorkbookView name="Jardin, Andreas (OFD-Rhld) - Persönliche Ansicht" guid="{B8FE7C60-7D84-469C-BE86-7AE2888FE41C}" mergeInterval="0" personalView="1" maximized="1" windowWidth="1020" windowHeight="572" tabRatio="903" activeSheetId="9" showFormulaBar="0"/>
  </customWorkbookViews>
  <webPublishing vml="1" allowPng="1" targetScreenSize="1024x768" codePage="1252"/>
</workbook>
</file>

<file path=xl/calcChain.xml><?xml version="1.0" encoding="utf-8"?>
<calcChain xmlns="http://schemas.openxmlformats.org/spreadsheetml/2006/main">
  <c r="G4" i="5" l="1"/>
  <c r="F4" i="5"/>
  <c r="G5" i="5"/>
  <c r="F5" i="5"/>
  <c r="G6" i="5"/>
  <c r="F6" i="5"/>
  <c r="G7" i="5"/>
  <c r="F7" i="5"/>
  <c r="G8" i="5"/>
  <c r="F8" i="5"/>
  <c r="D18" i="9" l="1"/>
  <c r="F9" i="5"/>
  <c r="U71" i="15"/>
  <c r="U70" i="15"/>
  <c r="U69" i="15"/>
  <c r="U68" i="15"/>
  <c r="U67" i="15"/>
  <c r="U66" i="15"/>
  <c r="U65" i="15"/>
  <c r="U64" i="15"/>
  <c r="U63" i="15"/>
  <c r="U62" i="15"/>
  <c r="U61" i="15"/>
  <c r="U60" i="15"/>
  <c r="U59" i="15"/>
  <c r="U58" i="15"/>
  <c r="U57" i="15"/>
  <c r="U56" i="15"/>
  <c r="U55" i="15"/>
  <c r="U54" i="15"/>
  <c r="U53" i="15"/>
  <c r="U52" i="15"/>
  <c r="U51" i="15"/>
  <c r="U50" i="15"/>
  <c r="U49" i="15"/>
  <c r="U48" i="15"/>
  <c r="U47" i="15"/>
  <c r="U46" i="15"/>
  <c r="U45" i="15"/>
  <c r="U44" i="15"/>
  <c r="U43" i="15"/>
  <c r="U42" i="15"/>
  <c r="U41" i="15"/>
  <c r="U40" i="15"/>
  <c r="U39" i="15"/>
  <c r="U38" i="15"/>
  <c r="U37" i="15"/>
  <c r="U36" i="15"/>
  <c r="U35" i="15"/>
  <c r="U34" i="15"/>
  <c r="U33" i="15"/>
  <c r="U32" i="15"/>
  <c r="U31" i="15"/>
  <c r="U30" i="15"/>
  <c r="U29" i="15"/>
  <c r="U28" i="15"/>
  <c r="U27" i="15"/>
  <c r="U26" i="15"/>
  <c r="U25" i="15"/>
  <c r="U24" i="15"/>
  <c r="U80" i="15"/>
  <c r="U23" i="15"/>
  <c r="U22" i="15"/>
  <c r="U21" i="15"/>
  <c r="U20" i="15"/>
  <c r="U19" i="15"/>
  <c r="U18" i="15"/>
  <c r="U17" i="15"/>
  <c r="U16" i="15"/>
  <c r="U15" i="15"/>
  <c r="U14" i="15"/>
  <c r="U13" i="15"/>
  <c r="U11" i="15"/>
  <c r="U10" i="15"/>
  <c r="V15" i="15"/>
  <c r="V14" i="15"/>
  <c r="F32" i="16"/>
  <c r="F31" i="16"/>
  <c r="F30" i="16"/>
  <c r="F29" i="16"/>
  <c r="G74" i="1"/>
  <c r="G77" i="1" s="1"/>
  <c r="K73" i="4" l="1"/>
  <c r="H74" i="1" l="1"/>
  <c r="H77" i="1" l="1"/>
  <c r="G10" i="5"/>
  <c r="G10" i="4"/>
  <c r="H11" i="4"/>
  <c r="G16" i="4"/>
  <c r="K16" i="4"/>
  <c r="G9" i="5"/>
  <c r="F10" i="5"/>
  <c r="G11" i="5"/>
  <c r="F11" i="5"/>
  <c r="F40" i="16"/>
  <c r="H40" i="16" s="1"/>
  <c r="F61" i="16"/>
  <c r="H61" i="16" s="1"/>
  <c r="F27" i="16"/>
  <c r="F9" i="16"/>
  <c r="L9" i="16" s="1"/>
  <c r="F62" i="16"/>
  <c r="L32" i="16"/>
  <c r="L31" i="16"/>
  <c r="H30" i="16"/>
  <c r="L29" i="16"/>
  <c r="F28" i="16"/>
  <c r="H28" i="16" s="1"/>
  <c r="J27" i="16"/>
  <c r="F26" i="16"/>
  <c r="L26" i="16" s="1"/>
  <c r="F25" i="16"/>
  <c r="K25" i="16" s="1"/>
  <c r="F24" i="16"/>
  <c r="L24" i="16" s="1"/>
  <c r="F23" i="16"/>
  <c r="K23" i="16" s="1"/>
  <c r="F22" i="16"/>
  <c r="H22" i="16" s="1"/>
  <c r="F21" i="16"/>
  <c r="L21" i="16" s="1"/>
  <c r="F20" i="16"/>
  <c r="I20" i="16" s="1"/>
  <c r="F19" i="16"/>
  <c r="J19" i="16" s="1"/>
  <c r="D19" i="16"/>
  <c r="D18" i="16" s="1"/>
  <c r="D17" i="16" s="1"/>
  <c r="F18" i="16"/>
  <c r="J18" i="16" s="1"/>
  <c r="F17" i="16"/>
  <c r="H17" i="16" s="1"/>
  <c r="F16" i="16"/>
  <c r="K16" i="16" s="1"/>
  <c r="F15" i="16"/>
  <c r="I15" i="16" s="1"/>
  <c r="F14" i="16"/>
  <c r="L14" i="16" s="1"/>
  <c r="F13" i="16"/>
  <c r="L13" i="16" s="1"/>
  <c r="F12" i="16"/>
  <c r="K12" i="16" s="1"/>
  <c r="F11" i="16"/>
  <c r="K11" i="16" s="1"/>
  <c r="F10" i="16"/>
  <c r="I10" i="16" s="1"/>
  <c r="F8" i="16"/>
  <c r="J8" i="16" s="1"/>
  <c r="F7" i="16"/>
  <c r="L7" i="16" s="1"/>
  <c r="F6" i="16"/>
  <c r="F60" i="16"/>
  <c r="F59" i="16"/>
  <c r="I59" i="16" s="1"/>
  <c r="F58" i="16"/>
  <c r="F57" i="16"/>
  <c r="F56" i="16"/>
  <c r="F55" i="16"/>
  <c r="F54" i="16"/>
  <c r="F53" i="16"/>
  <c r="F52" i="16"/>
  <c r="F51" i="16"/>
  <c r="F50" i="16"/>
  <c r="F49" i="16"/>
  <c r="F48" i="16"/>
  <c r="F47" i="16"/>
  <c r="F46" i="16"/>
  <c r="F45" i="16"/>
  <c r="G45" i="16" s="1"/>
  <c r="F44" i="16"/>
  <c r="F43" i="16"/>
  <c r="F42" i="16"/>
  <c r="F41" i="16"/>
  <c r="D52" i="16"/>
  <c r="D51" i="16" s="1"/>
  <c r="D50" i="16" s="1"/>
  <c r="D49" i="16" s="1"/>
  <c r="D48" i="16" s="1"/>
  <c r="D47" i="16" s="1"/>
  <c r="D46" i="16" s="1"/>
  <c r="D45" i="16" s="1"/>
  <c r="D44" i="16" s="1"/>
  <c r="D43" i="16" s="1"/>
  <c r="D42" i="16" s="1"/>
  <c r="D41" i="16" s="1"/>
  <c r="D40" i="16" s="1"/>
  <c r="F65" i="16"/>
  <c r="F64" i="16"/>
  <c r="F63" i="16"/>
  <c r="F39" i="16"/>
  <c r="H64" i="4"/>
  <c r="G76" i="5" l="1"/>
  <c r="F76" i="5"/>
  <c r="D8" i="9"/>
  <c r="G53" i="16"/>
  <c r="G49" i="16"/>
  <c r="G60" i="16"/>
  <c r="G41" i="16"/>
  <c r="E98" i="16"/>
  <c r="G43" i="16"/>
  <c r="G47" i="16"/>
  <c r="G51" i="16"/>
  <c r="G55" i="16"/>
  <c r="G64" i="16"/>
  <c r="E90" i="16"/>
  <c r="G40" i="16"/>
  <c r="G44" i="16"/>
  <c r="G48" i="16"/>
  <c r="G52" i="16"/>
  <c r="G56" i="16"/>
  <c r="G61" i="16"/>
  <c r="G65" i="16"/>
  <c r="E80" i="16"/>
  <c r="G58" i="16"/>
  <c r="G62" i="16"/>
  <c r="D16" i="16"/>
  <c r="D15" i="16" s="1"/>
  <c r="D14" i="16" s="1"/>
  <c r="D13" i="16" s="1"/>
  <c r="D12" i="16" s="1"/>
  <c r="D11" i="16" s="1"/>
  <c r="D10" i="16" s="1"/>
  <c r="D9" i="16" s="1"/>
  <c r="E69" i="16"/>
  <c r="E72" i="16"/>
  <c r="G42" i="16"/>
  <c r="G46" i="16"/>
  <c r="G50" i="16"/>
  <c r="G54" i="16"/>
  <c r="G59" i="16"/>
  <c r="G63" i="16"/>
  <c r="E89" i="16"/>
  <c r="G57" i="16"/>
  <c r="J10" i="16"/>
  <c r="K10" i="16"/>
  <c r="L17" i="16"/>
  <c r="K17" i="16"/>
  <c r="I61" i="16"/>
  <c r="I30" i="16"/>
  <c r="K19" i="16"/>
  <c r="K21" i="16"/>
  <c r="K29" i="16"/>
  <c r="H12" i="16"/>
  <c r="H8" i="16"/>
  <c r="L19" i="16"/>
  <c r="L27" i="16"/>
  <c r="J22" i="16"/>
  <c r="J30" i="16"/>
  <c r="K7" i="16"/>
  <c r="K8" i="16"/>
  <c r="L16" i="16"/>
  <c r="I17" i="16"/>
  <c r="K22" i="16"/>
  <c r="K30" i="16"/>
  <c r="J14" i="16"/>
  <c r="H10" i="16"/>
  <c r="J17" i="16"/>
  <c r="L22" i="16"/>
  <c r="L30" i="16"/>
  <c r="K27" i="16"/>
  <c r="L8" i="16"/>
  <c r="L12" i="16"/>
  <c r="I8" i="16"/>
  <c r="I22" i="16"/>
  <c r="L10" i="16"/>
  <c r="I24" i="16"/>
  <c r="I32" i="16"/>
  <c r="K15" i="16"/>
  <c r="J13" i="16"/>
  <c r="I11" i="16"/>
  <c r="H18" i="16"/>
  <c r="K20" i="16"/>
  <c r="I23" i="16"/>
  <c r="K28" i="16"/>
  <c r="I31" i="16"/>
  <c r="H15" i="16"/>
  <c r="H25" i="16"/>
  <c r="I25" i="16"/>
  <c r="J25" i="16"/>
  <c r="H11" i="16"/>
  <c r="J28" i="16"/>
  <c r="E70" i="16" s="1"/>
  <c r="I18" i="16"/>
  <c r="L20" i="16"/>
  <c r="J23" i="16"/>
  <c r="H26" i="16"/>
  <c r="L28" i="16"/>
  <c r="J31" i="16"/>
  <c r="H20" i="16"/>
  <c r="H31" i="16"/>
  <c r="K31" i="16"/>
  <c r="J15" i="16"/>
  <c r="I28" i="16"/>
  <c r="L15" i="16"/>
  <c r="L25" i="16"/>
  <c r="K13" i="16"/>
  <c r="H9" i="16"/>
  <c r="H16" i="16"/>
  <c r="H7" i="16"/>
  <c r="J9" i="16"/>
  <c r="L11" i="16"/>
  <c r="I16" i="16"/>
  <c r="K18" i="16"/>
  <c r="H21" i="16"/>
  <c r="L23" i="16"/>
  <c r="J26" i="16"/>
  <c r="H29" i="16"/>
  <c r="H13" i="16"/>
  <c r="I13" i="16"/>
  <c r="J20" i="16"/>
  <c r="J11" i="16"/>
  <c r="I9" i="16"/>
  <c r="I26" i="16"/>
  <c r="I7" i="16"/>
  <c r="K9" i="16"/>
  <c r="H14" i="16"/>
  <c r="J16" i="16"/>
  <c r="L18" i="16"/>
  <c r="I21" i="16"/>
  <c r="K26" i="16"/>
  <c r="I29" i="16"/>
  <c r="H23" i="16"/>
  <c r="J7" i="16"/>
  <c r="I14" i="16"/>
  <c r="J21" i="16"/>
  <c r="H24" i="16"/>
  <c r="J29" i="16"/>
  <c r="H32" i="16"/>
  <c r="I12" i="16"/>
  <c r="K14" i="16"/>
  <c r="H19" i="16"/>
  <c r="J24" i="16"/>
  <c r="H27" i="16"/>
  <c r="J32" i="16"/>
  <c r="J12" i="16"/>
  <c r="I19" i="16"/>
  <c r="K24" i="16"/>
  <c r="I27" i="16"/>
  <c r="K32" i="16"/>
  <c r="J61" i="16"/>
  <c r="D85" i="4"/>
  <c r="D8" i="16" l="1"/>
  <c r="D7" i="16" s="1"/>
  <c r="E99" i="16"/>
  <c r="E81" i="16"/>
  <c r="E71" i="16"/>
  <c r="J48" i="16"/>
  <c r="K47" i="16"/>
  <c r="L46" i="16"/>
  <c r="I45" i="16"/>
  <c r="J42" i="16"/>
  <c r="L52" i="16"/>
  <c r="K52" i="16"/>
  <c r="J52" i="16"/>
  <c r="I52" i="16"/>
  <c r="H52" i="16"/>
  <c r="L51" i="16"/>
  <c r="K51" i="16"/>
  <c r="J51" i="16"/>
  <c r="I51" i="16"/>
  <c r="H51" i="16"/>
  <c r="L50" i="16"/>
  <c r="K50" i="16"/>
  <c r="J50" i="16"/>
  <c r="I50" i="16"/>
  <c r="H50" i="16"/>
  <c r="L49" i="16"/>
  <c r="K49" i="16"/>
  <c r="J49" i="16"/>
  <c r="I49" i="16"/>
  <c r="H49" i="16"/>
  <c r="K48" i="16"/>
  <c r="L47" i="16"/>
  <c r="I47" i="16"/>
  <c r="H47" i="16"/>
  <c r="L44" i="16"/>
  <c r="K44" i="16"/>
  <c r="J44" i="16"/>
  <c r="I44" i="16"/>
  <c r="H44" i="16"/>
  <c r="L43" i="16"/>
  <c r="K43" i="16"/>
  <c r="J43" i="16"/>
  <c r="I43" i="16"/>
  <c r="H43" i="16"/>
  <c r="L42" i="16"/>
  <c r="K42" i="16"/>
  <c r="H42" i="16"/>
  <c r="L41" i="16"/>
  <c r="K41" i="16"/>
  <c r="J41" i="16"/>
  <c r="I41" i="16"/>
  <c r="H41" i="16"/>
  <c r="J47" i="16" l="1"/>
  <c r="I42" i="16"/>
  <c r="L48" i="16"/>
  <c r="H48" i="16"/>
  <c r="I48" i="16"/>
  <c r="J45" i="16"/>
  <c r="L45" i="16"/>
  <c r="H46" i="16"/>
  <c r="I46" i="16"/>
  <c r="J46" i="16"/>
  <c r="H45" i="16"/>
  <c r="K46" i="16"/>
  <c r="K45" i="16"/>
  <c r="W80" i="15"/>
  <c r="X80" i="15" l="1"/>
  <c r="Y80" i="15"/>
  <c r="Z80" i="15"/>
  <c r="AA80" i="15"/>
  <c r="V80" i="15"/>
  <c r="T80" i="15"/>
  <c r="S80" i="15"/>
  <c r="AG80" i="15" l="1"/>
  <c r="AF80" i="15"/>
  <c r="AE80" i="15"/>
  <c r="AD80" i="15"/>
  <c r="AC80" i="15"/>
  <c r="AB80" i="15"/>
  <c r="J80" i="15"/>
  <c r="H42" i="4" l="1"/>
  <c r="F81" i="16" l="1"/>
  <c r="F80" i="16"/>
  <c r="C78" i="16"/>
  <c r="C96" i="16"/>
  <c r="C87" i="16"/>
  <c r="C68" i="16"/>
  <c r="F98" i="16"/>
  <c r="F89" i="16"/>
  <c r="F71" i="16"/>
  <c r="L65" i="16"/>
  <c r="J64" i="16"/>
  <c r="L63" i="16"/>
  <c r="J62" i="16"/>
  <c r="L61" i="16"/>
  <c r="F99" i="16"/>
  <c r="F90" i="16"/>
  <c r="O22" i="1"/>
  <c r="N22" i="1"/>
  <c r="M22" i="1"/>
  <c r="O21" i="1"/>
  <c r="N21" i="1"/>
  <c r="M21" i="1"/>
  <c r="O20" i="1"/>
  <c r="N20" i="1"/>
  <c r="M20" i="1"/>
  <c r="O19" i="1"/>
  <c r="N19" i="1"/>
  <c r="M19" i="1"/>
  <c r="I65" i="16" l="1"/>
  <c r="I63" i="16"/>
  <c r="H62" i="16"/>
  <c r="L62" i="16"/>
  <c r="J63" i="16"/>
  <c r="H64" i="16"/>
  <c r="L64" i="16"/>
  <c r="J65" i="16"/>
  <c r="K62" i="16"/>
  <c r="K61" i="16"/>
  <c r="I62" i="16"/>
  <c r="K63" i="16"/>
  <c r="I64" i="16"/>
  <c r="K65" i="16"/>
  <c r="K64" i="16"/>
  <c r="H63" i="16"/>
  <c r="H65" i="16"/>
  <c r="F72" i="16" l="1"/>
  <c r="F70" i="16"/>
  <c r="A42" i="4"/>
  <c r="F69" i="16"/>
  <c r="D57" i="4" l="1"/>
  <c r="L40" i="16" l="1"/>
  <c r="K40" i="16"/>
  <c r="I40" i="16"/>
  <c r="J40" i="16"/>
  <c r="K59" i="16"/>
  <c r="H59" i="16"/>
  <c r="L59" i="16"/>
  <c r="J59" i="16"/>
  <c r="K55" i="16"/>
  <c r="J55" i="16"/>
  <c r="L55" i="16"/>
  <c r="I55" i="16"/>
  <c r="H55" i="16"/>
  <c r="L56" i="16"/>
  <c r="K56" i="16"/>
  <c r="J56" i="16"/>
  <c r="I56" i="16"/>
  <c r="H56" i="16"/>
  <c r="L60" i="16"/>
  <c r="K60" i="16"/>
  <c r="J60" i="16"/>
  <c r="I60" i="16"/>
  <c r="H60" i="16"/>
  <c r="L53" i="16"/>
  <c r="K53" i="16"/>
  <c r="J53" i="16"/>
  <c r="I53" i="16"/>
  <c r="H53" i="16"/>
  <c r="L57" i="16"/>
  <c r="K57" i="16"/>
  <c r="J57" i="16"/>
  <c r="I57" i="16"/>
  <c r="H57" i="16"/>
  <c r="L54" i="16"/>
  <c r="K54" i="16"/>
  <c r="J54" i="16"/>
  <c r="I54" i="16"/>
  <c r="H54" i="16"/>
  <c r="L58" i="16"/>
  <c r="K58" i="16"/>
  <c r="J58" i="16"/>
  <c r="I58" i="16"/>
  <c r="H58" i="16"/>
  <c r="D55" i="4"/>
  <c r="D56" i="4" l="1"/>
  <c r="F55" i="4"/>
  <c r="G81" i="16"/>
  <c r="G69" i="16"/>
  <c r="G89" i="16"/>
  <c r="G80" i="16"/>
  <c r="G70" i="16"/>
  <c r="G90" i="16"/>
  <c r="G72" i="16"/>
  <c r="G99" i="16"/>
  <c r="G98" i="16"/>
  <c r="G71" i="16"/>
  <c r="K55" i="4"/>
  <c r="D54" i="4"/>
  <c r="F57" i="4"/>
  <c r="K57" i="4"/>
  <c r="O7" i="4"/>
  <c r="K59" i="4" l="1"/>
  <c r="A49" i="4"/>
  <c r="A47" i="4"/>
  <c r="A46" i="4"/>
  <c r="A45" i="4"/>
  <c r="A44" i="4"/>
  <c r="D140" i="4"/>
  <c r="D139" i="4"/>
  <c r="D138" i="4"/>
  <c r="D137" i="4"/>
  <c r="D136" i="4"/>
  <c r="D135" i="4"/>
  <c r="D134" i="4"/>
  <c r="D133" i="4"/>
  <c r="D132" i="4"/>
  <c r="D131" i="4"/>
  <c r="D130" i="4"/>
  <c r="D141" i="4"/>
  <c r="A41" i="4"/>
  <c r="A40" i="4"/>
  <c r="A39" i="4"/>
  <c r="A38" i="4"/>
  <c r="A37" i="4"/>
  <c r="A36" i="4"/>
  <c r="A35" i="4"/>
  <c r="A34" i="4"/>
  <c r="A33" i="4"/>
  <c r="A31" i="4"/>
  <c r="A30" i="4"/>
  <c r="A29" i="4"/>
  <c r="A28" i="4"/>
  <c r="A27" i="4"/>
  <c r="A26" i="4"/>
  <c r="A25" i="4"/>
  <c r="A24" i="4"/>
  <c r="A23" i="4"/>
  <c r="R80" i="15"/>
  <c r="Q80" i="15"/>
  <c r="P80" i="15"/>
  <c r="O80" i="15"/>
  <c r="N80" i="15"/>
  <c r="M80" i="15"/>
  <c r="L80" i="15"/>
  <c r="K80" i="15"/>
  <c r="I78" i="15"/>
  <c r="J78" i="15" s="1"/>
  <c r="K78" i="15" s="1"/>
  <c r="L78" i="15" s="1"/>
  <c r="M78" i="15" s="1"/>
  <c r="N78" i="15" s="1"/>
  <c r="O78" i="15" s="1"/>
  <c r="P78" i="15" s="1"/>
  <c r="Q78" i="15" s="1"/>
  <c r="R78" i="15" s="1"/>
  <c r="J77" i="15"/>
  <c r="K77" i="15" s="1"/>
  <c r="L77" i="15" s="1"/>
  <c r="M77" i="15" s="1"/>
  <c r="N77" i="15" s="1"/>
  <c r="O77" i="15" s="1"/>
  <c r="P77" i="15" s="1"/>
  <c r="Q77" i="15" s="1"/>
  <c r="R77" i="15" s="1"/>
  <c r="S78" i="15" l="1"/>
  <c r="T78" i="15" s="1"/>
  <c r="S77" i="15"/>
  <c r="T77" i="15" s="1"/>
  <c r="A101" i="4"/>
  <c r="V77" i="15" l="1"/>
  <c r="W77" i="15" s="1"/>
  <c r="X77" i="15" s="1"/>
  <c r="Y77" i="15" s="1"/>
  <c r="Z77" i="15" s="1"/>
  <c r="AA77" i="15" s="1"/>
  <c r="AB77" i="15" s="1"/>
  <c r="AC77" i="15" s="1"/>
  <c r="AD77" i="15" s="1"/>
  <c r="AE77" i="15" s="1"/>
  <c r="AF77" i="15" s="1"/>
  <c r="AG77" i="15" s="1"/>
  <c r="U77" i="15"/>
  <c r="U78" i="15"/>
  <c r="V78" i="15" s="1"/>
  <c r="W78" i="15" s="1"/>
  <c r="X78" i="15" s="1"/>
  <c r="Y78" i="15" s="1"/>
  <c r="Z78" i="15" s="1"/>
  <c r="AA78" i="15" s="1"/>
  <c r="AB78" i="15" s="1"/>
  <c r="AC78" i="15" s="1"/>
  <c r="AD78" i="15" s="1"/>
  <c r="AE78" i="15" s="1"/>
  <c r="AF78" i="15" s="1"/>
  <c r="AG78" i="15" s="1"/>
  <c r="A92" i="4"/>
  <c r="A85" i="4"/>
  <c r="A99" i="4"/>
  <c r="A78" i="4"/>
  <c r="A86" i="4"/>
  <c r="A90" i="4"/>
  <c r="A96" i="4"/>
  <c r="A100" i="4"/>
  <c r="A80" i="4"/>
  <c r="A98" i="4"/>
  <c r="A95" i="4"/>
  <c r="A79" i="4"/>
  <c r="A87" i="4"/>
  <c r="A91" i="4"/>
  <c r="A97" i="4"/>
  <c r="K80" i="4"/>
  <c r="F114" i="4" l="1"/>
  <c r="D116" i="4" s="1"/>
  <c r="D114" i="4"/>
  <c r="F79" i="16"/>
  <c r="G79" i="16" s="1"/>
  <c r="F82" i="16"/>
  <c r="G82" i="16" s="1"/>
  <c r="F91" i="16"/>
  <c r="G91" i="16" s="1"/>
  <c r="F73" i="16"/>
  <c r="G73" i="16" s="1"/>
  <c r="G74" i="16" s="1"/>
  <c r="F100" i="16"/>
  <c r="G100" i="16" s="1"/>
  <c r="F97" i="16"/>
  <c r="G97" i="16" s="1"/>
  <c r="F88" i="16"/>
  <c r="G88" i="16" s="1"/>
  <c r="A81" i="4"/>
  <c r="A83" i="4"/>
  <c r="A84" i="4"/>
  <c r="G92" i="16" l="1"/>
  <c r="H92" i="16" s="1"/>
  <c r="G83" i="16"/>
  <c r="H83" i="16" s="1"/>
  <c r="H74" i="16"/>
  <c r="G101" i="16"/>
  <c r="H101" i="16" s="1"/>
  <c r="O21" i="4"/>
  <c r="D13" i="9" s="1"/>
  <c r="H21" i="4" l="1"/>
  <c r="A102" i="4"/>
  <c r="A51" i="4"/>
  <c r="A116" i="4"/>
  <c r="A115" i="4"/>
  <c r="A61" i="4"/>
  <c r="A77" i="4"/>
  <c r="A72" i="4"/>
  <c r="A74" i="4"/>
  <c r="A76" i="4"/>
  <c r="A75" i="4"/>
  <c r="A124" i="4"/>
  <c r="A67" i="4"/>
  <c r="A70" i="4"/>
  <c r="A66" i="4"/>
  <c r="A62" i="4"/>
  <c r="A69" i="4"/>
  <c r="A65" i="4"/>
  <c r="A68" i="4"/>
  <c r="A64" i="4"/>
  <c r="A63" i="4"/>
  <c r="D52" i="4"/>
  <c r="G7" i="15"/>
  <c r="H7" i="15" s="1"/>
  <c r="I7" i="15" s="1"/>
  <c r="J7" i="15" s="1"/>
  <c r="K7" i="15" s="1"/>
  <c r="L7" i="15" s="1"/>
  <c r="M7" i="15" s="1"/>
  <c r="N7" i="15" s="1"/>
  <c r="O7" i="15" s="1"/>
  <c r="P7" i="15" s="1"/>
  <c r="Q7" i="15" s="1"/>
  <c r="R7" i="15" s="1"/>
  <c r="K6" i="15"/>
  <c r="J6" i="15"/>
  <c r="H6" i="15"/>
  <c r="H5" i="15"/>
  <c r="I5" i="15" s="1"/>
  <c r="J5" i="15" s="1"/>
  <c r="K5" i="15" s="1"/>
  <c r="L5" i="15" s="1"/>
  <c r="M5" i="15" s="1"/>
  <c r="N5" i="15" s="1"/>
  <c r="O5" i="15" s="1"/>
  <c r="P5" i="15" s="1"/>
  <c r="Q5" i="15" s="1"/>
  <c r="R5" i="15" s="1"/>
  <c r="S7" i="15" l="1"/>
  <c r="T7" i="15" s="1"/>
  <c r="U7" i="15" s="1"/>
  <c r="V7" i="15" s="1"/>
  <c r="W7" i="15" s="1"/>
  <c r="X7" i="15" s="1"/>
  <c r="Y7" i="15" s="1"/>
  <c r="S5" i="15"/>
  <c r="T5" i="15" s="1"/>
  <c r="U5" i="15" s="1"/>
  <c r="V5" i="15" s="1"/>
  <c r="W5" i="15" s="1"/>
  <c r="X5" i="15" s="1"/>
  <c r="Y5" i="15" s="1"/>
  <c r="D189" i="4"/>
  <c r="O12" i="1"/>
  <c r="N12" i="1"/>
  <c r="M12" i="1"/>
  <c r="O11" i="1"/>
  <c r="N11" i="1"/>
  <c r="M11" i="1"/>
  <c r="K105" i="4" l="1"/>
  <c r="K110" i="4"/>
  <c r="K109" i="4"/>
  <c r="D110" i="4"/>
  <c r="D109" i="4"/>
  <c r="A50" i="4" l="1"/>
  <c r="G122" i="4"/>
  <c r="K122" i="4" s="1"/>
  <c r="J122" i="4"/>
  <c r="A113" i="4" l="1"/>
  <c r="A112" i="4"/>
  <c r="A108" i="4"/>
  <c r="A107" i="4"/>
  <c r="A109" i="4"/>
  <c r="A111" i="4"/>
  <c r="A110" i="4"/>
  <c r="A105" i="4"/>
  <c r="A103" i="4"/>
  <c r="A104" i="4"/>
  <c r="A106" i="4"/>
  <c r="F120" i="4" l="1"/>
  <c r="H74" i="12"/>
  <c r="B3" i="12"/>
  <c r="I48" i="12"/>
  <c r="G13" i="5"/>
  <c r="G12" i="5"/>
  <c r="G14" i="5"/>
  <c r="F13" i="5"/>
  <c r="F12" i="5"/>
  <c r="F14" i="5"/>
  <c r="L28" i="10"/>
  <c r="M28" i="10" s="1"/>
  <c r="G8" i="10"/>
  <c r="I25" i="10"/>
  <c r="H28" i="10"/>
  <c r="G10" i="10"/>
  <c r="C28" i="10"/>
  <c r="J25" i="10"/>
  <c r="C25" i="10"/>
  <c r="C29" i="10"/>
  <c r="I28" i="10"/>
  <c r="M26" i="10"/>
  <c r="J9" i="1"/>
  <c r="M9" i="1" s="1"/>
  <c r="O14" i="1"/>
  <c r="N14" i="1"/>
  <c r="M14" i="1"/>
  <c r="O16" i="1"/>
  <c r="N16" i="1"/>
  <c r="M16" i="1"/>
  <c r="K88" i="4"/>
  <c r="O18" i="1"/>
  <c r="N18" i="1"/>
  <c r="M18" i="1"/>
  <c r="D2" i="4"/>
  <c r="L59" i="1"/>
  <c r="J10" i="1"/>
  <c r="O10" i="1" s="1"/>
  <c r="J8" i="1"/>
  <c r="O8" i="1" s="1"/>
  <c r="I7" i="1"/>
  <c r="H7" i="1"/>
  <c r="G7" i="1"/>
  <c r="F7" i="1"/>
  <c r="E7" i="1"/>
  <c r="D188" i="4"/>
  <c r="D187" i="4"/>
  <c r="D186" i="4"/>
  <c r="D185" i="4"/>
  <c r="D184" i="4"/>
  <c r="D183" i="4"/>
  <c r="D182" i="4"/>
  <c r="D181" i="4"/>
  <c r="D180" i="4"/>
  <c r="D179" i="4"/>
  <c r="D178" i="4"/>
  <c r="D177" i="4"/>
  <c r="O70" i="1"/>
  <c r="N70" i="1"/>
  <c r="M70" i="1"/>
  <c r="L70" i="1"/>
  <c r="O69" i="1"/>
  <c r="N69" i="1"/>
  <c r="M69" i="1"/>
  <c r="L69" i="1"/>
  <c r="O68" i="1"/>
  <c r="N68" i="1"/>
  <c r="M68" i="1"/>
  <c r="L68" i="1"/>
  <c r="O67" i="1"/>
  <c r="N67" i="1"/>
  <c r="M67" i="1"/>
  <c r="L67" i="1"/>
  <c r="O66" i="1"/>
  <c r="N66" i="1"/>
  <c r="M66" i="1"/>
  <c r="L66" i="1"/>
  <c r="O65" i="1"/>
  <c r="N65" i="1"/>
  <c r="M65" i="1"/>
  <c r="L65" i="1"/>
  <c r="O64" i="1"/>
  <c r="N64" i="1"/>
  <c r="M64" i="1"/>
  <c r="L64" i="1"/>
  <c r="O63" i="1"/>
  <c r="N63" i="1"/>
  <c r="M63" i="1"/>
  <c r="L63" i="1"/>
  <c r="O62" i="1"/>
  <c r="N62" i="1"/>
  <c r="M62" i="1"/>
  <c r="L62" i="1"/>
  <c r="O61" i="1"/>
  <c r="N61" i="1"/>
  <c r="M61" i="1"/>
  <c r="L61" i="1"/>
  <c r="O60" i="1"/>
  <c r="N60" i="1"/>
  <c r="M60" i="1"/>
  <c r="L60" i="1"/>
  <c r="O59" i="1"/>
  <c r="N59" i="1"/>
  <c r="M59" i="1"/>
  <c r="O58" i="1"/>
  <c r="N58" i="1"/>
  <c r="M58" i="1"/>
  <c r="L58" i="1"/>
  <c r="K58" i="1"/>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F29" i="9"/>
  <c r="F28" i="9"/>
  <c r="F27" i="9"/>
  <c r="F26" i="9"/>
  <c r="F25" i="9"/>
  <c r="F24" i="9"/>
  <c r="F23" i="9"/>
  <c r="F22" i="9"/>
  <c r="A33" i="5"/>
  <c r="H68" i="4"/>
  <c r="H66" i="4"/>
  <c r="O17" i="1"/>
  <c r="N17" i="1"/>
  <c r="M17" i="1"/>
  <c r="H67" i="4"/>
  <c r="D67" i="4"/>
  <c r="H65" i="4"/>
  <c r="D65" i="4"/>
  <c r="G65" i="4"/>
  <c r="G67" i="4"/>
  <c r="J68" i="4"/>
  <c r="J66" i="4"/>
  <c r="G66" i="4"/>
  <c r="G68" i="4"/>
  <c r="K50" i="1"/>
  <c r="L50" i="1"/>
  <c r="M50" i="1"/>
  <c r="N50" i="1"/>
  <c r="O50" i="1"/>
  <c r="K44" i="1"/>
  <c r="L44" i="1"/>
  <c r="M44" i="1"/>
  <c r="N44" i="1"/>
  <c r="O44" i="1"/>
  <c r="K26" i="1"/>
  <c r="L26" i="1"/>
  <c r="M26" i="1"/>
  <c r="N26" i="1"/>
  <c r="O26" i="1"/>
  <c r="O46" i="1"/>
  <c r="N46" i="1"/>
  <c r="M46" i="1"/>
  <c r="L46" i="1"/>
  <c r="K46" i="1"/>
  <c r="O34" i="1"/>
  <c r="N34" i="1"/>
  <c r="M34" i="1"/>
  <c r="L34" i="1"/>
  <c r="K34" i="1"/>
  <c r="O55" i="1"/>
  <c r="N55" i="1"/>
  <c r="M55" i="1"/>
  <c r="L55" i="1"/>
  <c r="K55" i="1"/>
  <c r="O43" i="1"/>
  <c r="N43" i="1"/>
  <c r="M43" i="1"/>
  <c r="L43" i="1"/>
  <c r="K43" i="1"/>
  <c r="O31" i="1"/>
  <c r="N31" i="1"/>
  <c r="M31" i="1"/>
  <c r="L31" i="1"/>
  <c r="K31" i="1"/>
  <c r="O52" i="1"/>
  <c r="N52" i="1"/>
  <c r="M52" i="1"/>
  <c r="L52" i="1"/>
  <c r="K52" i="1"/>
  <c r="O40" i="1"/>
  <c r="N40" i="1"/>
  <c r="M40" i="1"/>
  <c r="L40" i="1"/>
  <c r="K40" i="1"/>
  <c r="O28" i="1"/>
  <c r="N28" i="1"/>
  <c r="M28" i="1"/>
  <c r="L28" i="1"/>
  <c r="K28" i="1"/>
  <c r="O49" i="1"/>
  <c r="N49" i="1"/>
  <c r="M49" i="1"/>
  <c r="L49" i="1"/>
  <c r="K49" i="1"/>
  <c r="O37" i="1"/>
  <c r="N37" i="1"/>
  <c r="M37" i="1"/>
  <c r="L37" i="1"/>
  <c r="K37" i="1"/>
  <c r="O25" i="1"/>
  <c r="N25" i="1"/>
  <c r="M25" i="1"/>
  <c r="L25" i="1"/>
  <c r="K25" i="1"/>
  <c r="O57" i="1"/>
  <c r="N57" i="1"/>
  <c r="M57" i="1"/>
  <c r="L57" i="1"/>
  <c r="K57" i="1"/>
  <c r="O45" i="1"/>
  <c r="N45" i="1"/>
  <c r="M45" i="1"/>
  <c r="L45" i="1"/>
  <c r="K45" i="1"/>
  <c r="O33" i="1"/>
  <c r="N33" i="1"/>
  <c r="M33" i="1"/>
  <c r="L33" i="1"/>
  <c r="K33" i="1"/>
  <c r="O54" i="1"/>
  <c r="N54" i="1"/>
  <c r="M54" i="1"/>
  <c r="L54" i="1"/>
  <c r="K54" i="1"/>
  <c r="O42" i="1"/>
  <c r="N42" i="1"/>
  <c r="M42" i="1"/>
  <c r="L42" i="1"/>
  <c r="K42" i="1"/>
  <c r="O30" i="1"/>
  <c r="N30" i="1"/>
  <c r="M30" i="1"/>
  <c r="L30" i="1"/>
  <c r="K30" i="1"/>
  <c r="O51" i="1"/>
  <c r="N51" i="1"/>
  <c r="M51" i="1"/>
  <c r="L51" i="1"/>
  <c r="K51" i="1"/>
  <c r="O39" i="1"/>
  <c r="N39" i="1"/>
  <c r="M39" i="1"/>
  <c r="L39" i="1"/>
  <c r="K39" i="1"/>
  <c r="O27" i="1"/>
  <c r="N27" i="1"/>
  <c r="M27" i="1"/>
  <c r="L27" i="1"/>
  <c r="K27" i="1"/>
  <c r="O48" i="1"/>
  <c r="N48" i="1"/>
  <c r="M48" i="1"/>
  <c r="L48" i="1"/>
  <c r="K48" i="1"/>
  <c r="O36" i="1"/>
  <c r="N36" i="1"/>
  <c r="M36" i="1"/>
  <c r="L36" i="1"/>
  <c r="K36" i="1"/>
  <c r="O24" i="1"/>
  <c r="N24" i="1"/>
  <c r="M24" i="1"/>
  <c r="L24" i="1"/>
  <c r="K24" i="1"/>
  <c r="O56" i="1"/>
  <c r="N56" i="1"/>
  <c r="M56" i="1"/>
  <c r="L56" i="1"/>
  <c r="K56" i="1"/>
  <c r="O32" i="1"/>
  <c r="N32" i="1"/>
  <c r="M32" i="1"/>
  <c r="L32" i="1"/>
  <c r="K32" i="1"/>
  <c r="O53" i="1"/>
  <c r="N53" i="1"/>
  <c r="M53" i="1"/>
  <c r="L53" i="1"/>
  <c r="K53" i="1"/>
  <c r="O41" i="1"/>
  <c r="N41" i="1"/>
  <c r="M41" i="1"/>
  <c r="L41" i="1"/>
  <c r="K41" i="1"/>
  <c r="O29" i="1"/>
  <c r="N29" i="1"/>
  <c r="M29" i="1"/>
  <c r="L29" i="1"/>
  <c r="K29" i="1"/>
  <c r="O38" i="1"/>
  <c r="N38" i="1"/>
  <c r="M38" i="1"/>
  <c r="L38" i="1"/>
  <c r="K38" i="1"/>
  <c r="O47" i="1"/>
  <c r="N47" i="1"/>
  <c r="M47" i="1"/>
  <c r="L47" i="1"/>
  <c r="K47" i="1"/>
  <c r="O35" i="1"/>
  <c r="N35" i="1"/>
  <c r="M35" i="1"/>
  <c r="L35" i="1"/>
  <c r="K35" i="1"/>
  <c r="O23" i="1"/>
  <c r="N23" i="1"/>
  <c r="M23" i="1"/>
  <c r="L23" i="1"/>
  <c r="K23" i="1"/>
  <c r="O15" i="1"/>
  <c r="N15" i="1"/>
  <c r="M15" i="1"/>
  <c r="O13" i="1"/>
  <c r="N13" i="1"/>
  <c r="M13" i="1"/>
  <c r="A34" i="5" l="1"/>
  <c r="A35" i="5" s="1"/>
  <c r="A36" i="5" s="1"/>
  <c r="A37" i="5" s="1"/>
  <c r="E21" i="1"/>
  <c r="K21" i="1" s="1"/>
  <c r="E20" i="1"/>
  <c r="K20" i="1" s="1"/>
  <c r="E22" i="1"/>
  <c r="K22" i="1" s="1"/>
  <c r="E19" i="1"/>
  <c r="K19" i="1" s="1"/>
  <c r="F20" i="1"/>
  <c r="L20" i="1" s="1"/>
  <c r="F22" i="1"/>
  <c r="L22" i="1" s="1"/>
  <c r="F21" i="1"/>
  <c r="L21" i="1" s="1"/>
  <c r="F19" i="1"/>
  <c r="L19" i="1" s="1"/>
  <c r="E10" i="1"/>
  <c r="K10" i="1" s="1"/>
  <c r="M8" i="1"/>
  <c r="L24" i="12"/>
  <c r="I76" i="15"/>
  <c r="E16" i="1"/>
  <c r="K16" i="1" s="1"/>
  <c r="E17" i="1"/>
  <c r="K17" i="1" s="1"/>
  <c r="F15" i="1"/>
  <c r="L15" i="1" s="1"/>
  <c r="E8" i="1"/>
  <c r="K8" i="1" s="1"/>
  <c r="N10" i="1"/>
  <c r="E12" i="1"/>
  <c r="K12" i="1" s="1"/>
  <c r="E11" i="1"/>
  <c r="K11" i="1" s="1"/>
  <c r="F13" i="1"/>
  <c r="L13" i="1" s="1"/>
  <c r="F11" i="1"/>
  <c r="L11" i="1" s="1"/>
  <c r="F12" i="1"/>
  <c r="L12" i="1" s="1"/>
  <c r="F18" i="1"/>
  <c r="L18" i="1" s="1"/>
  <c r="F8" i="1"/>
  <c r="L8" i="1" s="1"/>
  <c r="N8" i="1"/>
  <c r="E13" i="1"/>
  <c r="K13" i="1" s="1"/>
  <c r="E15" i="1"/>
  <c r="K15" i="1" s="1"/>
  <c r="M10" i="1"/>
  <c r="A60" i="4"/>
  <c r="A55" i="4"/>
  <c r="A59" i="4"/>
  <c r="A54" i="4"/>
  <c r="A58" i="4"/>
  <c r="A53" i="4"/>
  <c r="A57" i="4"/>
  <c r="A117" i="4"/>
  <c r="A114" i="4"/>
  <c r="A52" i="4"/>
  <c r="F30" i="9"/>
  <c r="L7" i="1"/>
  <c r="E14" i="1"/>
  <c r="K14" i="1" s="1"/>
  <c r="E18" i="1"/>
  <c r="K18" i="1" s="1"/>
  <c r="F14" i="1"/>
  <c r="L14" i="1" s="1"/>
  <c r="F16" i="1"/>
  <c r="L16" i="1" s="1"/>
  <c r="E9" i="1"/>
  <c r="K9" i="1" s="1"/>
  <c r="F9" i="1"/>
  <c r="L9" i="1" s="1"/>
  <c r="F10" i="1"/>
  <c r="L10" i="1" s="1"/>
  <c r="F17" i="1"/>
  <c r="L17" i="1" s="1"/>
  <c r="M7" i="1"/>
  <c r="J7" i="1" s="1"/>
  <c r="A38" i="5"/>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D6" i="9"/>
  <c r="F81" i="1"/>
  <c r="C24" i="12"/>
  <c r="I44" i="12"/>
  <c r="K7" i="1"/>
  <c r="N7" i="1"/>
  <c r="O7" i="1"/>
  <c r="O9" i="1"/>
  <c r="N9" i="1"/>
  <c r="G72" i="12" l="1"/>
  <c r="D72" i="12"/>
  <c r="G9" i="15"/>
  <c r="L12" i="12"/>
  <c r="F75" i="1"/>
  <c r="D9" i="9"/>
  <c r="D54" i="9" s="1"/>
  <c r="K99" i="4"/>
  <c r="D19" i="9"/>
  <c r="L72" i="1"/>
  <c r="G57" i="9"/>
  <c r="D55" i="9" l="1"/>
  <c r="D14" i="9"/>
  <c r="C35" i="9" s="1"/>
  <c r="E72" i="12"/>
  <c r="F78" i="1"/>
  <c r="G23" i="15"/>
  <c r="G22" i="15"/>
  <c r="G21" i="15"/>
  <c r="G20" i="15"/>
  <c r="H9" i="15"/>
  <c r="V21" i="15"/>
  <c r="W21" i="15" s="1"/>
  <c r="X21" i="15" s="1"/>
  <c r="Y21" i="15" s="1"/>
  <c r="W14" i="15"/>
  <c r="X14" i="15" s="1"/>
  <c r="Y14" i="15" s="1"/>
  <c r="V11" i="15"/>
  <c r="W11" i="15" s="1"/>
  <c r="X11" i="15" s="1"/>
  <c r="Y11" i="15" s="1"/>
  <c r="V20" i="15"/>
  <c r="W20" i="15" s="1"/>
  <c r="X20" i="15" s="1"/>
  <c r="Y20" i="15" s="1"/>
  <c r="V22" i="15"/>
  <c r="W22" i="15" s="1"/>
  <c r="X22" i="15" s="1"/>
  <c r="Y22" i="15" s="1"/>
  <c r="V16" i="15"/>
  <c r="W16" i="15" s="1"/>
  <c r="X16" i="15" s="1"/>
  <c r="Y16" i="15" s="1"/>
  <c r="V19" i="15"/>
  <c r="W19" i="15" s="1"/>
  <c r="X19" i="15" s="1"/>
  <c r="Y19" i="15" s="1"/>
  <c r="V13" i="15"/>
  <c r="W13" i="15" s="1"/>
  <c r="X13" i="15" s="1"/>
  <c r="Y13" i="15" s="1"/>
  <c r="W12" i="15"/>
  <c r="X12" i="15" s="1"/>
  <c r="Y12" i="15" s="1"/>
  <c r="W15" i="15"/>
  <c r="X15" i="15" s="1"/>
  <c r="Y15" i="15" s="1"/>
  <c r="V17" i="15"/>
  <c r="W17" i="15" s="1"/>
  <c r="X17" i="15" s="1"/>
  <c r="Y17" i="15" s="1"/>
  <c r="V10" i="15"/>
  <c r="W10" i="15" s="1"/>
  <c r="X10" i="15" s="1"/>
  <c r="Y10" i="15" s="1"/>
  <c r="V23" i="15"/>
  <c r="W23" i="15" s="1"/>
  <c r="X23" i="15" s="1"/>
  <c r="Y23" i="15" s="1"/>
  <c r="V18" i="15"/>
  <c r="W18" i="15" s="1"/>
  <c r="X18" i="15" s="1"/>
  <c r="Y18" i="15" s="1"/>
  <c r="W9" i="15"/>
  <c r="X9" i="15" s="1"/>
  <c r="Y9" i="15" s="1"/>
  <c r="G10" i="15"/>
  <c r="G34" i="15"/>
  <c r="G49" i="15"/>
  <c r="M49" i="15" s="1"/>
  <c r="G12" i="15"/>
  <c r="M12" i="15" s="1"/>
  <c r="G59" i="15"/>
  <c r="H59" i="15" s="1"/>
  <c r="J9" i="15"/>
  <c r="G25" i="15"/>
  <c r="G33" i="15"/>
  <c r="O33" i="15" s="1"/>
  <c r="G13" i="15"/>
  <c r="G43" i="15"/>
  <c r="G50" i="15"/>
  <c r="J50" i="15" s="1"/>
  <c r="G39" i="15"/>
  <c r="P9" i="15"/>
  <c r="Q9" i="15" s="1"/>
  <c r="R9" i="15" s="1"/>
  <c r="G29" i="15"/>
  <c r="G55" i="15"/>
  <c r="G68" i="15"/>
  <c r="G64" i="15"/>
  <c r="G60" i="15"/>
  <c r="J60" i="15" s="1"/>
  <c r="M9" i="15"/>
  <c r="L9" i="15"/>
  <c r="G48" i="15"/>
  <c r="G69" i="15"/>
  <c r="G44" i="15"/>
  <c r="I44" i="15" s="1"/>
  <c r="G27" i="15"/>
  <c r="G28" i="15"/>
  <c r="G70" i="15"/>
  <c r="K70" i="15" s="1"/>
  <c r="G14" i="15"/>
  <c r="I14" i="15" s="1"/>
  <c r="G15" i="15"/>
  <c r="H15" i="15" s="1"/>
  <c r="G32" i="15"/>
  <c r="G53" i="15"/>
  <c r="G63" i="15"/>
  <c r="G58" i="15"/>
  <c r="G47" i="15"/>
  <c r="G54" i="15"/>
  <c r="M54" i="15" s="1"/>
  <c r="G17" i="15"/>
  <c r="O17" i="15" s="1"/>
  <c r="G19" i="15"/>
  <c r="H19" i="15" s="1"/>
  <c r="G67" i="15"/>
  <c r="G37" i="15"/>
  <c r="G62" i="15"/>
  <c r="H62" i="15" s="1"/>
  <c r="G42" i="15"/>
  <c r="G31" i="15"/>
  <c r="G38" i="15"/>
  <c r="H38" i="15" s="1"/>
  <c r="O9" i="15"/>
  <c r="G11" i="15"/>
  <c r="M11" i="15" s="1"/>
  <c r="G51" i="15"/>
  <c r="G46" i="15"/>
  <c r="G56" i="15"/>
  <c r="L56" i="15" s="1"/>
  <c r="G26" i="15"/>
  <c r="G52" i="15"/>
  <c r="G8" i="15"/>
  <c r="M8" i="15" s="1"/>
  <c r="G16" i="15"/>
  <c r="O16" i="15" s="1"/>
  <c r="G18" i="15"/>
  <c r="L18" i="15" s="1"/>
  <c r="G35" i="15"/>
  <c r="G30" i="15"/>
  <c r="G40" i="15"/>
  <c r="O40" i="15" s="1"/>
  <c r="G61" i="15"/>
  <c r="I61" i="15" s="1"/>
  <c r="G36" i="15"/>
  <c r="G57" i="15"/>
  <c r="J57" i="15" s="1"/>
  <c r="K9" i="15"/>
  <c r="N9" i="15"/>
  <c r="I9" i="15"/>
  <c r="G66" i="15"/>
  <c r="M66" i="15" s="1"/>
  <c r="G65" i="15"/>
  <c r="O65" i="15" s="1"/>
  <c r="G24" i="15"/>
  <c r="G45" i="15"/>
  <c r="P45" i="15" s="1"/>
  <c r="Q45" i="15" s="1"/>
  <c r="R45" i="15" s="1"/>
  <c r="S45" i="15" s="1"/>
  <c r="T45" i="15" s="1"/>
  <c r="G71" i="15"/>
  <c r="I71" i="15" s="1"/>
  <c r="G41" i="15"/>
  <c r="L41" i="15" s="1"/>
  <c r="K107" i="4"/>
  <c r="K112" i="4" s="1"/>
  <c r="D107" i="4"/>
  <c r="D52" i="9"/>
  <c r="C43" i="9" l="1"/>
  <c r="C39" i="9"/>
  <c r="C46" i="9"/>
  <c r="C41" i="9"/>
  <c r="C38" i="9"/>
  <c r="C48" i="9"/>
  <c r="C42" i="9"/>
  <c r="C40" i="9"/>
  <c r="C49" i="9"/>
  <c r="C36" i="9"/>
  <c r="C33" i="9"/>
  <c r="C47" i="9"/>
  <c r="C32" i="9"/>
  <c r="C44" i="9"/>
  <c r="C34" i="9"/>
  <c r="C37" i="9"/>
  <c r="C45" i="9"/>
  <c r="G79" i="1"/>
  <c r="G80" i="1" s="1"/>
  <c r="H79" i="1"/>
  <c r="H80" i="1" s="1"/>
  <c r="H75" i="12"/>
  <c r="H49" i="15"/>
  <c r="O49" i="15"/>
  <c r="J12" i="15"/>
  <c r="H50" i="15"/>
  <c r="O60" i="15"/>
  <c r="J54" i="15"/>
  <c r="N8" i="15"/>
  <c r="P14" i="15"/>
  <c r="Q14" i="15" s="1"/>
  <c r="R14" i="15" s="1"/>
  <c r="S14" i="15" s="1"/>
  <c r="T14" i="15" s="1"/>
  <c r="M50" i="15"/>
  <c r="L38" i="15"/>
  <c r="H17" i="15"/>
  <c r="N49" i="15"/>
  <c r="J49" i="15"/>
  <c r="P49" i="15"/>
  <c r="Q49" i="15" s="1"/>
  <c r="R49" i="15" s="1"/>
  <c r="S49" i="15" s="1"/>
  <c r="T49" i="15" s="1"/>
  <c r="L50" i="15"/>
  <c r="K50" i="15"/>
  <c r="M17" i="15"/>
  <c r="K49" i="15"/>
  <c r="L49" i="15"/>
  <c r="O50" i="15"/>
  <c r="I50" i="15"/>
  <c r="N50" i="15"/>
  <c r="I49" i="15"/>
  <c r="P50" i="15"/>
  <c r="Q50" i="15" s="1"/>
  <c r="R50" i="15" s="1"/>
  <c r="S50" i="15" s="1"/>
  <c r="T50" i="15" s="1"/>
  <c r="L8" i="15"/>
  <c r="I70" i="15"/>
  <c r="K45" i="15"/>
  <c r="V71" i="15"/>
  <c r="W71" i="15" s="1"/>
  <c r="X71" i="15" s="1"/>
  <c r="Y71" i="15" s="1"/>
  <c r="V67" i="15"/>
  <c r="W67" i="15" s="1"/>
  <c r="X67" i="15" s="1"/>
  <c r="Y67" i="15" s="1"/>
  <c r="V63" i="15"/>
  <c r="W63" i="15" s="1"/>
  <c r="X63" i="15" s="1"/>
  <c r="Y63" i="15" s="1"/>
  <c r="V59" i="15"/>
  <c r="W59" i="15" s="1"/>
  <c r="X59" i="15" s="1"/>
  <c r="Y59" i="15" s="1"/>
  <c r="V55" i="15"/>
  <c r="W55" i="15" s="1"/>
  <c r="X55" i="15" s="1"/>
  <c r="Y55" i="15" s="1"/>
  <c r="V51" i="15"/>
  <c r="W51" i="15" s="1"/>
  <c r="X51" i="15" s="1"/>
  <c r="Y51" i="15" s="1"/>
  <c r="V47" i="15"/>
  <c r="W47" i="15" s="1"/>
  <c r="X47" i="15" s="1"/>
  <c r="Y47" i="15" s="1"/>
  <c r="V43" i="15"/>
  <c r="W43" i="15" s="1"/>
  <c r="X43" i="15" s="1"/>
  <c r="Y43" i="15" s="1"/>
  <c r="V39" i="15"/>
  <c r="W39" i="15" s="1"/>
  <c r="X39" i="15" s="1"/>
  <c r="Y39" i="15" s="1"/>
  <c r="V35" i="15"/>
  <c r="W35" i="15" s="1"/>
  <c r="X35" i="15" s="1"/>
  <c r="Y35" i="15" s="1"/>
  <c r="V31" i="15"/>
  <c r="W31" i="15" s="1"/>
  <c r="X31" i="15" s="1"/>
  <c r="Y31" i="15" s="1"/>
  <c r="V27" i="15"/>
  <c r="W27" i="15" s="1"/>
  <c r="X27" i="15" s="1"/>
  <c r="Y27" i="15" s="1"/>
  <c r="V69" i="15"/>
  <c r="W69" i="15" s="1"/>
  <c r="X69" i="15" s="1"/>
  <c r="Y69" i="15" s="1"/>
  <c r="V65" i="15"/>
  <c r="W65" i="15" s="1"/>
  <c r="X65" i="15" s="1"/>
  <c r="Y65" i="15" s="1"/>
  <c r="V61" i="15"/>
  <c r="W61" i="15" s="1"/>
  <c r="X61" i="15" s="1"/>
  <c r="Y61" i="15" s="1"/>
  <c r="V57" i="15"/>
  <c r="W57" i="15" s="1"/>
  <c r="X57" i="15" s="1"/>
  <c r="Y57" i="15" s="1"/>
  <c r="V53" i="15"/>
  <c r="W53" i="15" s="1"/>
  <c r="X53" i="15" s="1"/>
  <c r="Y53" i="15" s="1"/>
  <c r="V49" i="15"/>
  <c r="W49" i="15" s="1"/>
  <c r="X49" i="15" s="1"/>
  <c r="Y49" i="15" s="1"/>
  <c r="V45" i="15"/>
  <c r="W45" i="15" s="1"/>
  <c r="X45" i="15" s="1"/>
  <c r="Y45" i="15" s="1"/>
  <c r="V41" i="15"/>
  <c r="W41" i="15" s="1"/>
  <c r="X41" i="15" s="1"/>
  <c r="Y41" i="15" s="1"/>
  <c r="V37" i="15"/>
  <c r="W37" i="15" s="1"/>
  <c r="X37" i="15" s="1"/>
  <c r="Y37" i="15" s="1"/>
  <c r="V33" i="15"/>
  <c r="W33" i="15" s="1"/>
  <c r="X33" i="15" s="1"/>
  <c r="Y33" i="15" s="1"/>
  <c r="V29" i="15"/>
  <c r="W29" i="15" s="1"/>
  <c r="X29" i="15" s="1"/>
  <c r="Y29" i="15" s="1"/>
  <c r="V25" i="15"/>
  <c r="W25" i="15" s="1"/>
  <c r="X25" i="15" s="1"/>
  <c r="Y25" i="15" s="1"/>
  <c r="V68" i="15"/>
  <c r="W68" i="15" s="1"/>
  <c r="X68" i="15" s="1"/>
  <c r="Y68" i="15" s="1"/>
  <c r="V64" i="15"/>
  <c r="W64" i="15" s="1"/>
  <c r="X64" i="15" s="1"/>
  <c r="Y64" i="15" s="1"/>
  <c r="V60" i="15"/>
  <c r="W60" i="15" s="1"/>
  <c r="X60" i="15" s="1"/>
  <c r="Y60" i="15" s="1"/>
  <c r="V56" i="15"/>
  <c r="W56" i="15" s="1"/>
  <c r="X56" i="15" s="1"/>
  <c r="Y56" i="15" s="1"/>
  <c r="V52" i="15"/>
  <c r="W52" i="15" s="1"/>
  <c r="X52" i="15" s="1"/>
  <c r="Y52" i="15" s="1"/>
  <c r="V62" i="15"/>
  <c r="W62" i="15" s="1"/>
  <c r="X62" i="15" s="1"/>
  <c r="Y62" i="15" s="1"/>
  <c r="V48" i="15"/>
  <c r="W48" i="15" s="1"/>
  <c r="X48" i="15" s="1"/>
  <c r="Y48" i="15" s="1"/>
  <c r="V40" i="15"/>
  <c r="W40" i="15" s="1"/>
  <c r="X40" i="15" s="1"/>
  <c r="Y40" i="15" s="1"/>
  <c r="V32" i="15"/>
  <c r="W32" i="15" s="1"/>
  <c r="X32" i="15" s="1"/>
  <c r="Y32" i="15" s="1"/>
  <c r="V24" i="15"/>
  <c r="W24" i="15" s="1"/>
  <c r="X24" i="15" s="1"/>
  <c r="Y24" i="15" s="1"/>
  <c r="V58" i="15"/>
  <c r="W58" i="15" s="1"/>
  <c r="X58" i="15" s="1"/>
  <c r="Y58" i="15" s="1"/>
  <c r="V46" i="15"/>
  <c r="W46" i="15" s="1"/>
  <c r="X46" i="15" s="1"/>
  <c r="Y46" i="15" s="1"/>
  <c r="V38" i="15"/>
  <c r="W38" i="15" s="1"/>
  <c r="X38" i="15" s="1"/>
  <c r="Y38" i="15" s="1"/>
  <c r="V30" i="15"/>
  <c r="W30" i="15" s="1"/>
  <c r="X30" i="15" s="1"/>
  <c r="Y30" i="15" s="1"/>
  <c r="V66" i="15"/>
  <c r="W66" i="15" s="1"/>
  <c r="X66" i="15" s="1"/>
  <c r="Y66" i="15" s="1"/>
  <c r="V50" i="15"/>
  <c r="W50" i="15" s="1"/>
  <c r="X50" i="15" s="1"/>
  <c r="Y50" i="15" s="1"/>
  <c r="V42" i="15"/>
  <c r="W42" i="15" s="1"/>
  <c r="X42" i="15" s="1"/>
  <c r="Y42" i="15" s="1"/>
  <c r="V34" i="15"/>
  <c r="W34" i="15" s="1"/>
  <c r="X34" i="15" s="1"/>
  <c r="Y34" i="15" s="1"/>
  <c r="V26" i="15"/>
  <c r="W26" i="15" s="1"/>
  <c r="X26" i="15" s="1"/>
  <c r="Y26" i="15" s="1"/>
  <c r="V70" i="15"/>
  <c r="W70" i="15" s="1"/>
  <c r="X70" i="15" s="1"/>
  <c r="Y70" i="15" s="1"/>
  <c r="V54" i="15"/>
  <c r="W54" i="15" s="1"/>
  <c r="X54" i="15" s="1"/>
  <c r="Y54" i="15" s="1"/>
  <c r="V44" i="15"/>
  <c r="W44" i="15" s="1"/>
  <c r="X44" i="15" s="1"/>
  <c r="Y44" i="15" s="1"/>
  <c r="V36" i="15"/>
  <c r="W36" i="15" s="1"/>
  <c r="X36" i="15" s="1"/>
  <c r="Y36" i="15" s="1"/>
  <c r="V28" i="15"/>
  <c r="W28" i="15" s="1"/>
  <c r="X28" i="15" s="1"/>
  <c r="Y28" i="15" s="1"/>
  <c r="W8" i="15"/>
  <c r="X8" i="15" s="1"/>
  <c r="Y8" i="15" s="1"/>
  <c r="I20" i="15"/>
  <c r="M20" i="15"/>
  <c r="P20" i="15"/>
  <c r="Q20" i="15" s="1"/>
  <c r="R20" i="15" s="1"/>
  <c r="S20" i="15" s="1"/>
  <c r="T20" i="15" s="1"/>
  <c r="L20" i="15"/>
  <c r="O20" i="15"/>
  <c r="N20" i="15"/>
  <c r="H20" i="15"/>
  <c r="J20" i="15"/>
  <c r="K20" i="15"/>
  <c r="O21" i="15"/>
  <c r="N21" i="15"/>
  <c r="P21" i="15"/>
  <c r="Q21" i="15" s="1"/>
  <c r="R21" i="15" s="1"/>
  <c r="S21" i="15" s="1"/>
  <c r="T21" i="15" s="1"/>
  <c r="I21" i="15"/>
  <c r="M21" i="15"/>
  <c r="L21" i="15"/>
  <c r="J21" i="15"/>
  <c r="H21" i="15"/>
  <c r="K21" i="15"/>
  <c r="L22" i="15"/>
  <c r="M22" i="15"/>
  <c r="I22" i="15"/>
  <c r="O22" i="15"/>
  <c r="N22" i="15"/>
  <c r="P22" i="15"/>
  <c r="Q22" i="15" s="1"/>
  <c r="R22" i="15" s="1"/>
  <c r="S22" i="15" s="1"/>
  <c r="T22" i="15" s="1"/>
  <c r="K22" i="15"/>
  <c r="J22" i="15"/>
  <c r="H22" i="15"/>
  <c r="P23" i="15"/>
  <c r="Q23" i="15" s="1"/>
  <c r="R23" i="15" s="1"/>
  <c r="S23" i="15" s="1"/>
  <c r="T23" i="15" s="1"/>
  <c r="N23" i="15"/>
  <c r="O23" i="15"/>
  <c r="M23" i="15"/>
  <c r="I23" i="15"/>
  <c r="L23" i="15"/>
  <c r="H23" i="15"/>
  <c r="K23" i="15"/>
  <c r="J23" i="15"/>
  <c r="N45" i="15"/>
  <c r="O45" i="15"/>
  <c r="O15" i="15"/>
  <c r="H45" i="15"/>
  <c r="J45" i="15"/>
  <c r="M45" i="15"/>
  <c r="L45" i="15"/>
  <c r="I45" i="15"/>
  <c r="N57" i="15"/>
  <c r="H8" i="15"/>
  <c r="O39" i="15"/>
  <c r="L60" i="15"/>
  <c r="P38" i="15"/>
  <c r="Q38" i="15" s="1"/>
  <c r="R38" i="15" s="1"/>
  <c r="S38" i="15" s="1"/>
  <c r="T38" i="15" s="1"/>
  <c r="I54" i="15"/>
  <c r="I57" i="15"/>
  <c r="J70" i="15"/>
  <c r="K8" i="15"/>
  <c r="M60" i="15"/>
  <c r="N60" i="15"/>
  <c r="M38" i="15"/>
  <c r="L54" i="15"/>
  <c r="O57" i="15"/>
  <c r="M70" i="15"/>
  <c r="J8" i="15"/>
  <c r="K60" i="15"/>
  <c r="K38" i="15"/>
  <c r="N38" i="15"/>
  <c r="O54" i="15"/>
  <c r="M57" i="15"/>
  <c r="P57" i="15"/>
  <c r="Q57" i="15" s="1"/>
  <c r="R57" i="15" s="1"/>
  <c r="S57" i="15" s="1"/>
  <c r="T57" i="15" s="1"/>
  <c r="N70" i="15"/>
  <c r="O8" i="15"/>
  <c r="H60" i="15"/>
  <c r="I38" i="15"/>
  <c r="H54" i="15"/>
  <c r="K57" i="15"/>
  <c r="L70" i="15"/>
  <c r="P70" i="15"/>
  <c r="Q70" i="15" s="1"/>
  <c r="R70" i="15" s="1"/>
  <c r="S70" i="15" s="1"/>
  <c r="T70" i="15" s="1"/>
  <c r="K12" i="15"/>
  <c r="I8" i="15"/>
  <c r="P60" i="15"/>
  <c r="Q60" i="15" s="1"/>
  <c r="R60" i="15" s="1"/>
  <c r="S60" i="15" s="1"/>
  <c r="T60" i="15" s="1"/>
  <c r="O38" i="15"/>
  <c r="P54" i="15"/>
  <c r="Q54" i="15" s="1"/>
  <c r="R54" i="15" s="1"/>
  <c r="S54" i="15" s="1"/>
  <c r="T54" i="15" s="1"/>
  <c r="H57" i="15"/>
  <c r="O70" i="15"/>
  <c r="I60" i="15"/>
  <c r="J38" i="15"/>
  <c r="K54" i="15"/>
  <c r="N54" i="15"/>
  <c r="L57" i="15"/>
  <c r="H70" i="15"/>
  <c r="S9" i="15"/>
  <c r="T9" i="15" s="1"/>
  <c r="L69" i="15"/>
  <c r="M55" i="15"/>
  <c r="O69" i="15"/>
  <c r="O11" i="15"/>
  <c r="L55" i="15"/>
  <c r="K53" i="15"/>
  <c r="L37" i="15"/>
  <c r="M53" i="15"/>
  <c r="K46" i="15"/>
  <c r="H37" i="15"/>
  <c r="M46" i="15"/>
  <c r="I15" i="15"/>
  <c r="J18" i="15"/>
  <c r="J59" i="15"/>
  <c r="H41" i="15"/>
  <c r="M18" i="15"/>
  <c r="P59" i="15"/>
  <c r="Q59" i="15" s="1"/>
  <c r="R59" i="15" s="1"/>
  <c r="S59" i="15" s="1"/>
  <c r="T59" i="15" s="1"/>
  <c r="J19" i="15"/>
  <c r="N19" i="15"/>
  <c r="K11" i="15"/>
  <c r="P19" i="15"/>
  <c r="Q19" i="15" s="1"/>
  <c r="R19" i="15" s="1"/>
  <c r="J46" i="15"/>
  <c r="N55" i="15"/>
  <c r="N37" i="15"/>
  <c r="J53" i="15"/>
  <c r="M69" i="15"/>
  <c r="L46" i="15"/>
  <c r="N46" i="15"/>
  <c r="I55" i="15"/>
  <c r="M37" i="15"/>
  <c r="O53" i="15"/>
  <c r="J44" i="15"/>
  <c r="I69" i="15"/>
  <c r="I46" i="15"/>
  <c r="H30" i="15"/>
  <c r="K55" i="15"/>
  <c r="P37" i="15"/>
  <c r="Q37" i="15" s="1"/>
  <c r="R37" i="15" s="1"/>
  <c r="S37" i="15" s="1"/>
  <c r="T37" i="15" s="1"/>
  <c r="O37" i="15"/>
  <c r="I53" i="15"/>
  <c r="J69" i="15"/>
  <c r="P69" i="15"/>
  <c r="Q69" i="15" s="1"/>
  <c r="R69" i="15" s="1"/>
  <c r="S69" i="15" s="1"/>
  <c r="T69" i="15" s="1"/>
  <c r="P11" i="15"/>
  <c r="Q11" i="15" s="1"/>
  <c r="R11" i="15" s="1"/>
  <c r="P46" i="15"/>
  <c r="Q46" i="15" s="1"/>
  <c r="R46" i="15" s="1"/>
  <c r="S46" i="15" s="1"/>
  <c r="T46" i="15" s="1"/>
  <c r="J55" i="15"/>
  <c r="K37" i="15"/>
  <c r="N53" i="15"/>
  <c r="P53" i="15"/>
  <c r="Q53" i="15" s="1"/>
  <c r="R53" i="15" s="1"/>
  <c r="S53" i="15" s="1"/>
  <c r="T53" i="15" s="1"/>
  <c r="K69" i="15"/>
  <c r="N30" i="15"/>
  <c r="H10" i="15"/>
  <c r="O46" i="15"/>
  <c r="O55" i="15"/>
  <c r="P55" i="15"/>
  <c r="Q55" i="15" s="1"/>
  <c r="R55" i="15" s="1"/>
  <c r="S55" i="15" s="1"/>
  <c r="T55" i="15" s="1"/>
  <c r="J37" i="15"/>
  <c r="M30" i="15"/>
  <c r="H53" i="15"/>
  <c r="J66" i="15"/>
  <c r="N69" i="15"/>
  <c r="H46" i="15"/>
  <c r="H55" i="15"/>
  <c r="I37" i="15"/>
  <c r="L53" i="15"/>
  <c r="I30" i="15"/>
  <c r="H69" i="15"/>
  <c r="L33" i="15"/>
  <c r="L30" i="15"/>
  <c r="J62" i="15"/>
  <c r="K10" i="15"/>
  <c r="J10" i="15"/>
  <c r="P10" i="15"/>
  <c r="Q10" i="15" s="1"/>
  <c r="R10" i="15" s="1"/>
  <c r="P56" i="15"/>
  <c r="Q56" i="15" s="1"/>
  <c r="R56" i="15" s="1"/>
  <c r="S56" i="15" s="1"/>
  <c r="T56" i="15" s="1"/>
  <c r="M63" i="15"/>
  <c r="O10" i="15"/>
  <c r="I10" i="15"/>
  <c r="O63" i="15"/>
  <c r="O30" i="15"/>
  <c r="L10" i="15"/>
  <c r="M10" i="15"/>
  <c r="N56" i="15"/>
  <c r="P63" i="15"/>
  <c r="Q63" i="15" s="1"/>
  <c r="R63" i="15" s="1"/>
  <c r="S63" i="15" s="1"/>
  <c r="T63" i="15" s="1"/>
  <c r="P30" i="15"/>
  <c r="Q30" i="15" s="1"/>
  <c r="R30" i="15" s="1"/>
  <c r="S30" i="15" s="1"/>
  <c r="T30" i="15" s="1"/>
  <c r="N10" i="15"/>
  <c r="N33" i="15"/>
  <c r="H40" i="15"/>
  <c r="J30" i="15"/>
  <c r="O47" i="15"/>
  <c r="P36" i="15"/>
  <c r="Q36" i="15" s="1"/>
  <c r="R36" i="15" s="1"/>
  <c r="S36" i="15" s="1"/>
  <c r="T36" i="15" s="1"/>
  <c r="O13" i="15"/>
  <c r="K47" i="15"/>
  <c r="I31" i="15"/>
  <c r="H42" i="15"/>
  <c r="P58" i="15"/>
  <c r="Q58" i="15" s="1"/>
  <c r="R58" i="15" s="1"/>
  <c r="S58" i="15" s="1"/>
  <c r="T58" i="15" s="1"/>
  <c r="J68" i="15"/>
  <c r="K30" i="15"/>
  <c r="N34" i="15"/>
  <c r="L43" i="15"/>
  <c r="K31" i="15"/>
  <c r="L34" i="15"/>
  <c r="K64" i="15"/>
  <c r="K43" i="15"/>
  <c r="L64" i="15"/>
  <c r="H52" i="15"/>
  <c r="K52" i="15"/>
  <c r="K36" i="15"/>
  <c r="I18" i="15"/>
  <c r="L11" i="15"/>
  <c r="K19" i="15"/>
  <c r="K15" i="15"/>
  <c r="P15" i="15"/>
  <c r="Q15" i="15" s="1"/>
  <c r="R15" i="15" s="1"/>
  <c r="K18" i="15"/>
  <c r="I11" i="15"/>
  <c r="I52" i="15"/>
  <c r="J43" i="15"/>
  <c r="P43" i="15"/>
  <c r="Q43" i="15" s="1"/>
  <c r="R43" i="15" s="1"/>
  <c r="S43" i="15" s="1"/>
  <c r="T43" i="15" s="1"/>
  <c r="H34" i="15"/>
  <c r="M34" i="15"/>
  <c r="O64" i="15"/>
  <c r="L31" i="15"/>
  <c r="M59" i="15"/>
  <c r="M41" i="15"/>
  <c r="J47" i="15"/>
  <c r="L36" i="15"/>
  <c r="I19" i="15"/>
  <c r="J15" i="15"/>
  <c r="H18" i="15"/>
  <c r="M52" i="15"/>
  <c r="N43" i="15"/>
  <c r="K34" i="15"/>
  <c r="M64" i="15"/>
  <c r="N64" i="15"/>
  <c r="N31" i="15"/>
  <c r="N59" i="15"/>
  <c r="K41" i="15"/>
  <c r="M47" i="15"/>
  <c r="P47" i="15"/>
  <c r="Q47" i="15" s="1"/>
  <c r="R47" i="15" s="1"/>
  <c r="S47" i="15" s="1"/>
  <c r="T47" i="15" s="1"/>
  <c r="N36" i="15"/>
  <c r="L19" i="15"/>
  <c r="M15" i="15"/>
  <c r="N18" i="15"/>
  <c r="J11" i="15"/>
  <c r="J52" i="15"/>
  <c r="M43" i="15"/>
  <c r="O34" i="15"/>
  <c r="H64" i="15"/>
  <c r="H31" i="15"/>
  <c r="O59" i="15"/>
  <c r="J41" i="15"/>
  <c r="I47" i="15"/>
  <c r="O36" i="15"/>
  <c r="H11" i="15"/>
  <c r="O52" i="15"/>
  <c r="H43" i="15"/>
  <c r="P34" i="15"/>
  <c r="Q34" i="15" s="1"/>
  <c r="R34" i="15" s="1"/>
  <c r="S34" i="15" s="1"/>
  <c r="T34" i="15" s="1"/>
  <c r="P64" i="15"/>
  <c r="Q64" i="15" s="1"/>
  <c r="R64" i="15" s="1"/>
  <c r="S64" i="15" s="1"/>
  <c r="T64" i="15" s="1"/>
  <c r="J31" i="15"/>
  <c r="L59" i="15"/>
  <c r="I41" i="15"/>
  <c r="H47" i="15"/>
  <c r="J36" i="15"/>
  <c r="M19" i="15"/>
  <c r="N15" i="15"/>
  <c r="O18" i="15"/>
  <c r="O19" i="15"/>
  <c r="L15" i="15"/>
  <c r="P18" i="15"/>
  <c r="Q18" i="15" s="1"/>
  <c r="R18" i="15" s="1"/>
  <c r="N11" i="15"/>
  <c r="L52" i="15"/>
  <c r="O43" i="15"/>
  <c r="I34" i="15"/>
  <c r="I64" i="15"/>
  <c r="M31" i="15"/>
  <c r="O31" i="15"/>
  <c r="I59" i="15"/>
  <c r="O41" i="15"/>
  <c r="N47" i="15"/>
  <c r="H36" i="15"/>
  <c r="P52" i="15"/>
  <c r="Q52" i="15" s="1"/>
  <c r="R52" i="15" s="1"/>
  <c r="S52" i="15" s="1"/>
  <c r="T52" i="15" s="1"/>
  <c r="N52" i="15"/>
  <c r="I43" i="15"/>
  <c r="J34" i="15"/>
  <c r="J64" i="15"/>
  <c r="P31" i="15"/>
  <c r="Q31" i="15" s="1"/>
  <c r="R31" i="15" s="1"/>
  <c r="S31" i="15" s="1"/>
  <c r="T31" i="15" s="1"/>
  <c r="K59" i="15"/>
  <c r="N41" i="15"/>
  <c r="P41" i="15"/>
  <c r="Q41" i="15" s="1"/>
  <c r="R41" i="15" s="1"/>
  <c r="S41" i="15" s="1"/>
  <c r="T41" i="15" s="1"/>
  <c r="L47" i="15"/>
  <c r="I36" i="15"/>
  <c r="M36" i="15"/>
  <c r="N16" i="15"/>
  <c r="M39" i="15"/>
  <c r="M71" i="15"/>
  <c r="N14" i="15"/>
  <c r="I16" i="15"/>
  <c r="H39" i="15"/>
  <c r="K71" i="15"/>
  <c r="H71" i="15"/>
  <c r="L12" i="15"/>
  <c r="J17" i="15"/>
  <c r="J14" i="15"/>
  <c r="M14" i="15"/>
  <c r="M16" i="15"/>
  <c r="N39" i="15"/>
  <c r="N71" i="15"/>
  <c r="O12" i="15"/>
  <c r="N17" i="15"/>
  <c r="H14" i="15"/>
  <c r="H16" i="15"/>
  <c r="L16" i="15"/>
  <c r="L39" i="15"/>
  <c r="L71" i="15"/>
  <c r="H12" i="15"/>
  <c r="L17" i="15"/>
  <c r="K14" i="15"/>
  <c r="K16" i="15"/>
  <c r="K39" i="15"/>
  <c r="P71" i="15"/>
  <c r="Q71" i="15" s="1"/>
  <c r="R71" i="15" s="1"/>
  <c r="S71" i="15" s="1"/>
  <c r="T71" i="15" s="1"/>
  <c r="K17" i="15"/>
  <c r="L14" i="15"/>
  <c r="J16" i="15"/>
  <c r="J39" i="15"/>
  <c r="O71" i="15"/>
  <c r="P12" i="15"/>
  <c r="Q12" i="15" s="1"/>
  <c r="R12" i="15" s="1"/>
  <c r="I12" i="15"/>
  <c r="I17" i="15"/>
  <c r="N12" i="15"/>
  <c r="P17" i="15"/>
  <c r="Q17" i="15" s="1"/>
  <c r="R17" i="15" s="1"/>
  <c r="O14" i="15"/>
  <c r="P16" i="15"/>
  <c r="Q16" i="15" s="1"/>
  <c r="R16" i="15" s="1"/>
  <c r="I39" i="15"/>
  <c r="P39" i="15"/>
  <c r="Q39" i="15" s="1"/>
  <c r="R39" i="15" s="1"/>
  <c r="S39" i="15" s="1"/>
  <c r="T39" i="15" s="1"/>
  <c r="J71" i="15"/>
  <c r="P8" i="15"/>
  <c r="Q8" i="15" s="1"/>
  <c r="R8" i="15" s="1"/>
  <c r="I32" i="15"/>
  <c r="P48" i="15"/>
  <c r="Q48" i="15" s="1"/>
  <c r="R48" i="15" s="1"/>
  <c r="S48" i="15" s="1"/>
  <c r="T48" i="15" s="1"/>
  <c r="K29" i="15"/>
  <c r="M51" i="15"/>
  <c r="J67" i="15"/>
  <c r="H35" i="15"/>
  <c r="P29" i="15"/>
  <c r="Q29" i="15" s="1"/>
  <c r="R29" i="15" s="1"/>
  <c r="S29" i="15" s="1"/>
  <c r="T29" i="15" s="1"/>
  <c r="O51" i="15"/>
  <c r="P51" i="15"/>
  <c r="Q51" i="15" s="1"/>
  <c r="R51" i="15" s="1"/>
  <c r="S51" i="15" s="1"/>
  <c r="T51" i="15" s="1"/>
  <c r="H67" i="15"/>
  <c r="O32" i="15"/>
  <c r="J35" i="15"/>
  <c r="M48" i="15"/>
  <c r="N48" i="15"/>
  <c r="L29" i="15"/>
  <c r="O29" i="15"/>
  <c r="I51" i="15"/>
  <c r="L67" i="15"/>
  <c r="H32" i="15"/>
  <c r="N35" i="15"/>
  <c r="I48" i="15"/>
  <c r="H29" i="15"/>
  <c r="H51" i="15"/>
  <c r="N67" i="15"/>
  <c r="K32" i="15"/>
  <c r="P35" i="15"/>
  <c r="Q35" i="15" s="1"/>
  <c r="R35" i="15" s="1"/>
  <c r="S35" i="15" s="1"/>
  <c r="T35" i="15" s="1"/>
  <c r="K48" i="15"/>
  <c r="M29" i="15"/>
  <c r="J51" i="15"/>
  <c r="K67" i="15"/>
  <c r="N32" i="15"/>
  <c r="M32" i="15"/>
  <c r="K35" i="15"/>
  <c r="H48" i="15"/>
  <c r="I29" i="15"/>
  <c r="L51" i="15"/>
  <c r="O67" i="15"/>
  <c r="P67" i="15"/>
  <c r="Q67" i="15" s="1"/>
  <c r="R67" i="15" s="1"/>
  <c r="S67" i="15" s="1"/>
  <c r="T67" i="15" s="1"/>
  <c r="P32" i="15"/>
  <c r="Q32" i="15" s="1"/>
  <c r="R32" i="15" s="1"/>
  <c r="S32" i="15" s="1"/>
  <c r="T32" i="15" s="1"/>
  <c r="L35" i="15"/>
  <c r="J48" i="15"/>
  <c r="N29" i="15"/>
  <c r="N51" i="15"/>
  <c r="M67" i="15"/>
  <c r="J32" i="15"/>
  <c r="I35" i="15"/>
  <c r="L48" i="15"/>
  <c r="M65" i="15"/>
  <c r="N58" i="15"/>
  <c r="K68" i="15"/>
  <c r="J29" i="15"/>
  <c r="K51" i="15"/>
  <c r="I67" i="15"/>
  <c r="L32" i="15"/>
  <c r="M35" i="15"/>
  <c r="O35" i="15"/>
  <c r="O48" i="15"/>
  <c r="I66" i="15"/>
  <c r="J40" i="15"/>
  <c r="I33" i="15"/>
  <c r="K13" i="15"/>
  <c r="L13" i="15"/>
  <c r="L68" i="15"/>
  <c r="K56" i="15"/>
  <c r="H33" i="15"/>
  <c r="I42" i="15"/>
  <c r="N42" i="15"/>
  <c r="K62" i="15"/>
  <c r="L58" i="15"/>
  <c r="I63" i="15"/>
  <c r="K65" i="15"/>
  <c r="K66" i="15"/>
  <c r="N61" i="15"/>
  <c r="L40" i="15"/>
  <c r="N40" i="15"/>
  <c r="L44" i="15"/>
  <c r="K42" i="15"/>
  <c r="N65" i="15"/>
  <c r="J13" i="15"/>
  <c r="P68" i="15"/>
  <c r="Q68" i="15" s="1"/>
  <c r="R68" i="15" s="1"/>
  <c r="S68" i="15" s="1"/>
  <c r="T68" i="15" s="1"/>
  <c r="N68" i="15"/>
  <c r="M56" i="15"/>
  <c r="M33" i="15"/>
  <c r="P42" i="15"/>
  <c r="Q42" i="15" s="1"/>
  <c r="R42" i="15" s="1"/>
  <c r="S42" i="15" s="1"/>
  <c r="T42" i="15" s="1"/>
  <c r="M62" i="15"/>
  <c r="O58" i="15"/>
  <c r="H63" i="15"/>
  <c r="I65" i="15"/>
  <c r="O66" i="15"/>
  <c r="N66" i="15"/>
  <c r="O61" i="15"/>
  <c r="K40" i="15"/>
  <c r="H44" i="15"/>
  <c r="N44" i="15"/>
  <c r="O68" i="15"/>
  <c r="H68" i="15"/>
  <c r="I56" i="15"/>
  <c r="P33" i="15"/>
  <c r="Q33" i="15" s="1"/>
  <c r="R33" i="15" s="1"/>
  <c r="S33" i="15" s="1"/>
  <c r="T33" i="15" s="1"/>
  <c r="M42" i="15"/>
  <c r="L62" i="15"/>
  <c r="N62" i="15"/>
  <c r="J58" i="15"/>
  <c r="N63" i="15"/>
  <c r="H65" i="15"/>
  <c r="P66" i="15"/>
  <c r="Q66" i="15" s="1"/>
  <c r="R66" i="15" s="1"/>
  <c r="S66" i="15" s="1"/>
  <c r="T66" i="15" s="1"/>
  <c r="H61" i="15"/>
  <c r="M40" i="15"/>
  <c r="P44" i="15"/>
  <c r="Q44" i="15" s="1"/>
  <c r="R44" i="15" s="1"/>
  <c r="S44" i="15" s="1"/>
  <c r="T44" i="15" s="1"/>
  <c r="I68" i="15"/>
  <c r="J56" i="15"/>
  <c r="K33" i="15"/>
  <c r="L42" i="15"/>
  <c r="I62" i="15"/>
  <c r="H58" i="15"/>
  <c r="L63" i="15"/>
  <c r="J65" i="15"/>
  <c r="H66" i="15"/>
  <c r="M61" i="15"/>
  <c r="P40" i="15"/>
  <c r="Q40" i="15" s="1"/>
  <c r="R40" i="15" s="1"/>
  <c r="S40" i="15" s="1"/>
  <c r="T40" i="15" s="1"/>
  <c r="K44" i="15"/>
  <c r="N13" i="15"/>
  <c r="P61" i="15"/>
  <c r="Q61" i="15" s="1"/>
  <c r="R61" i="15" s="1"/>
  <c r="S61" i="15" s="1"/>
  <c r="T61" i="15" s="1"/>
  <c r="P13" i="15"/>
  <c r="Q13" i="15" s="1"/>
  <c r="R13" i="15" s="1"/>
  <c r="M68" i="15"/>
  <c r="H56" i="15"/>
  <c r="J33" i="15"/>
  <c r="O42" i="15"/>
  <c r="P62" i="15"/>
  <c r="Q62" i="15" s="1"/>
  <c r="R62" i="15" s="1"/>
  <c r="S62" i="15" s="1"/>
  <c r="T62" i="15" s="1"/>
  <c r="K58" i="15"/>
  <c r="K63" i="15"/>
  <c r="L65" i="15"/>
  <c r="L66" i="15"/>
  <c r="L61" i="15"/>
  <c r="I40" i="15"/>
  <c r="O44" i="15"/>
  <c r="M58" i="15"/>
  <c r="P65" i="15"/>
  <c r="Q65" i="15" s="1"/>
  <c r="R65" i="15" s="1"/>
  <c r="S65" i="15" s="1"/>
  <c r="T65" i="15" s="1"/>
  <c r="K61" i="15"/>
  <c r="H13" i="15"/>
  <c r="I13" i="15"/>
  <c r="M13" i="15"/>
  <c r="O56" i="15"/>
  <c r="J42" i="15"/>
  <c r="O62" i="15"/>
  <c r="I58" i="15"/>
  <c r="J63" i="15"/>
  <c r="J61" i="15"/>
  <c r="M44" i="15"/>
  <c r="L75" i="12"/>
  <c r="M28" i="15"/>
  <c r="I28" i="15"/>
  <c r="O28" i="15"/>
  <c r="J28" i="15"/>
  <c r="N28" i="15"/>
  <c r="H28" i="15"/>
  <c r="L28" i="15"/>
  <c r="P28" i="15"/>
  <c r="Q28" i="15" s="1"/>
  <c r="R28" i="15" s="1"/>
  <c r="S28" i="15" s="1"/>
  <c r="T28" i="15" s="1"/>
  <c r="K28" i="15"/>
  <c r="D56" i="9" l="1"/>
  <c r="F11" i="4"/>
  <c r="S18" i="15"/>
  <c r="T18" i="15" s="1"/>
  <c r="S13" i="15"/>
  <c r="T13" i="15" s="1"/>
  <c r="S16" i="15"/>
  <c r="T16" i="15" s="1"/>
  <c r="S15" i="15"/>
  <c r="T15" i="15" s="1"/>
  <c r="S10" i="15"/>
  <c r="T10" i="15" s="1"/>
  <c r="S8" i="15"/>
  <c r="T8" i="15" s="1"/>
  <c r="S17" i="15"/>
  <c r="T17" i="15" s="1"/>
  <c r="S11" i="15"/>
  <c r="T11" i="15" s="1"/>
  <c r="S12" i="15"/>
  <c r="T12" i="15" s="1"/>
  <c r="S19" i="15"/>
  <c r="T19" i="15" s="1"/>
  <c r="K89" i="4"/>
  <c r="D90" i="4" s="1"/>
  <c r="O27" i="15"/>
  <c r="K27" i="15"/>
  <c r="N27" i="15"/>
  <c r="I27" i="15"/>
  <c r="M27" i="15"/>
  <c r="H27" i="15"/>
  <c r="L27" i="15"/>
  <c r="P27" i="15"/>
  <c r="Q27" i="15" s="1"/>
  <c r="R27" i="15" s="1"/>
  <c r="S27" i="15" s="1"/>
  <c r="T27" i="15" s="1"/>
  <c r="J27" i="15"/>
  <c r="F83" i="1" l="1"/>
  <c r="G84" i="1" s="1"/>
  <c r="D66" i="4" s="1"/>
  <c r="F82" i="1"/>
  <c r="D11" i="4"/>
  <c r="D105" i="16"/>
  <c r="D106" i="16" s="1"/>
  <c r="D107" i="16" s="1"/>
  <c r="D108" i="16" s="1"/>
  <c r="K112" i="16" s="1"/>
  <c r="K85" i="4" s="1"/>
  <c r="F74" i="1"/>
  <c r="K90" i="4"/>
  <c r="M26" i="15"/>
  <c r="I26" i="15"/>
  <c r="N26" i="15"/>
  <c r="H26" i="15"/>
  <c r="L26" i="15"/>
  <c r="P26" i="15"/>
  <c r="Q26" i="15" s="1"/>
  <c r="R26" i="15" s="1"/>
  <c r="S26" i="15" s="1"/>
  <c r="T26" i="15" s="1"/>
  <c r="K26" i="15"/>
  <c r="O26" i="15"/>
  <c r="J26" i="15"/>
  <c r="H49" i="12"/>
  <c r="I49" i="12"/>
  <c r="L6" i="12"/>
  <c r="H84" i="1" l="1"/>
  <c r="D68" i="4" s="1"/>
  <c r="K87" i="4"/>
  <c r="K93" i="4"/>
  <c r="K94" i="4" s="1"/>
  <c r="K82" i="4"/>
  <c r="K83" i="4" s="1"/>
  <c r="O25" i="15"/>
  <c r="K25" i="15"/>
  <c r="M25" i="15"/>
  <c r="H25" i="15"/>
  <c r="L25" i="15"/>
  <c r="P25" i="15"/>
  <c r="Q25" i="15" s="1"/>
  <c r="R25" i="15" s="1"/>
  <c r="S25" i="15" s="1"/>
  <c r="T25" i="15" s="1"/>
  <c r="J25" i="15"/>
  <c r="N25" i="15"/>
  <c r="I25" i="15"/>
  <c r="F76" i="1"/>
  <c r="F77" i="1" s="1"/>
  <c r="F79" i="1" s="1"/>
  <c r="F80" i="1" s="1"/>
  <c r="L51" i="12"/>
  <c r="I51" i="12"/>
  <c r="L14" i="12"/>
  <c r="L26" i="12" s="1"/>
  <c r="F84" i="1" l="1"/>
  <c r="D64" i="4" s="1"/>
  <c r="K68" i="4"/>
  <c r="K66" i="4"/>
  <c r="M24" i="15"/>
  <c r="I24" i="15"/>
  <c r="L24" i="15"/>
  <c r="P24" i="15"/>
  <c r="Q24" i="15" s="1"/>
  <c r="R24" i="15" s="1"/>
  <c r="S24" i="15" s="1"/>
  <c r="T24" i="15" s="1"/>
  <c r="I40" i="4" s="1"/>
  <c r="K24" i="15"/>
  <c r="O24" i="15"/>
  <c r="J24" i="15"/>
  <c r="N24" i="15"/>
  <c r="H24" i="15"/>
  <c r="L32" i="12"/>
  <c r="L78" i="12" l="1"/>
  <c r="K92" i="4" l="1"/>
  <c r="D95" i="4"/>
  <c r="K97" i="4" l="1"/>
  <c r="K101" i="4" s="1"/>
  <c r="L53" i="12" l="1"/>
  <c r="K64" i="4"/>
  <c r="K69" i="4" s="1"/>
  <c r="K72" i="4" s="1"/>
  <c r="K75" i="4" s="1"/>
  <c r="K114" i="4" s="1"/>
  <c r="K116" i="4" l="1"/>
  <c r="F121" i="4"/>
  <c r="F122" i="4" s="1"/>
  <c r="G121" i="4" l="1"/>
  <c r="K121" i="4" s="1"/>
  <c r="J121" i="4"/>
  <c r="A125" i="4"/>
  <c r="G120" i="4"/>
  <c r="K120" i="4" s="1"/>
  <c r="A121" i="4"/>
  <c r="A122" i="4"/>
  <c r="A118" i="4"/>
  <c r="A126" i="4"/>
  <c r="A120" i="4"/>
  <c r="A119" i="4"/>
  <c r="D115" i="4"/>
  <c r="A123" i="4"/>
  <c r="J120" i="4" l="1"/>
  <c r="N25" i="10"/>
  <c r="N28" i="10" l="1"/>
  <c r="N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Jardin, Andreas (OFD, St 25)</author>
    <author>Andreas Jardin</author>
    <author>AJA</author>
  </authors>
  <commentList>
    <comment ref="D5" authorId="0" shapeId="0" xr:uid="{00000000-0006-0000-0000-000001000000}">
      <text>
        <r>
          <rPr>
            <sz val="9"/>
            <color indexed="81"/>
            <rFont val="Tahoma"/>
            <family val="2"/>
          </rPr>
          <t>Unter „Lage des Grundstücks“ ist die Anschrift des Bewertungsobjekts einzutragen. Sofern es sich um ein Wohnungs- oder Teileigentum handelt, ist ergänzend die Wohnungs- oder Teileigentumsnummer oder eine andere nachvollziehbare Bezeichnung, wie beispielsweise „1. OG links“ oder „SE 1“, anzugeben.</t>
        </r>
      </text>
    </comment>
    <comment ref="D7" authorId="0" shapeId="0" xr:uid="{00000000-0006-0000-0000-000002000000}">
      <text>
        <r>
          <rPr>
            <sz val="9"/>
            <color indexed="81"/>
            <rFont val="Tahoma"/>
            <family val="2"/>
          </rPr>
          <t xml:space="preserve">In diesem Feld ist die zutreffende Grundstücksart über eine Auswahl im „Pull-Down-Menü“ anzugeben. Bei Ein- und Zweifamilienhäusern (EFH/ZFH) besteht die Option, verschiedene Gebäudearten zu differenzieren. Insbesondere bei Geschäftsgrundstücken ist die Arbeitshilfe nur bei Standardobjekten anwendbar (vgl. Anleitung zur Berechnung der Kaufpreisaufteilung).
</t>
        </r>
      </text>
    </comment>
    <comment ref="F9" authorId="0" shapeId="0" xr:uid="{00000000-0006-0000-0000-000003000000}">
      <text>
        <r>
          <rPr>
            <sz val="9"/>
            <color indexed="81"/>
            <rFont val="Tahoma"/>
            <family val="2"/>
          </rPr>
          <t xml:space="preserve">Der Zeitpunkt, auf den die Berechnung zur Kaufpreisaufteilung durchzuführen ist, ist der Zeitpunkt des Abschlusses des Kaufvertrages. Der Nutzen- und Lastenwechsel ist für die Kaufpreisaufteilung nicht maßgeblich. 
Bitte geben Sie das Datum in nachfolgendem Format an: TT.MM.JJJJ
</t>
        </r>
      </text>
    </comment>
    <comment ref="I9" authorId="0" shapeId="0" xr:uid="{00000000-0006-0000-0000-000004000000}">
      <text>
        <r>
          <rPr>
            <sz val="9"/>
            <color indexed="81"/>
            <rFont val="Tahoma"/>
            <family val="2"/>
          </rPr>
          <t xml:space="preserve">Neben dem Kaufpreis sind auch die Anschaffungsnebenkosten, wie beispielsweise die Grunderwerbsteuer, Maklergebühren und Notarkosten, zu berücksichtigen.
</t>
        </r>
      </text>
    </comment>
    <comment ref="F11" authorId="0" shapeId="0" xr:uid="{00000000-0006-0000-0000-000005000000}">
      <text>
        <r>
          <rPr>
            <sz val="9"/>
            <color indexed="81"/>
            <rFont val="Tahoma"/>
            <family val="2"/>
          </rPr>
          <t>Als Baujahr ist regelmäßig das Jahr der Bezugsfertigkeit des Gebäudes (ursprüngliches Baujahr) anzugeben. Die Bezugsfertigkeit ist gegeben, wenn das Gebäude bzw. der Gebäudeteil von den künftigen Bewohnern oder sonstigen Benutzern nach objektiven Verhältnissen genutzt werden kann. Die Abnahme durch die Bauaufsichtsbehörde ist nicht entscheidend. Die Angabe des Baujahrs ist für die Bestimmung der Restnutzungsdauer und des Alterswertminderungsfaktors von Bedeutung. Sofern Kenntnisse vorliegen, dass an dem Gebäude in den letzten zwanzig Jahren vor Anschaffung des Gebäudes Modernisierungsmaßnahmen durchgeführt wurden, kann fiktiv ein späteres Baujahr angenommen werden. Dabei ist zu berücksichtigen, dass bei länger als zehn Jahre zurückliegenden Modernisierungen diese max. als „teilweise Modernisierungen“ erfasst werden können. Länger als zwanzig Jahre zurückliegende Modernisierungen können nicht berücksichtigt werden. Das fiktive Baujahr kann unter Verwendung des Tabellenblatts „Fiktives Baujahr“ ermittelt werden. Es wird anschließend automatisch in die Berechnung zur Kaufpreisaufteilung (Tabellenblatt „KPA“) aufgenommen. Bitte fügen Sie in diesen Fällen neben der Berechnung zur Kaufpreisaufteilung (Tabellenblatt „KPA“) auch die Nebenrechnung zur Ermittlung des „fiktiven Baujahrs“ (Tabellenblatt „KPA 1a“) bei.</t>
        </r>
      </text>
    </comment>
    <comment ref="I11" authorId="0" shapeId="0" xr:uid="{00000000-0006-0000-0000-000006000000}">
      <text>
        <r>
          <rPr>
            <sz val="9"/>
            <color indexed="81"/>
            <rFont val="Tahoma"/>
            <family val="2"/>
          </rPr>
          <t>Bei Wohngrundstücken ist die Wohnfläche insbesondere nach Maßgabe der Verordnung zur Berechnung der Wohnfläche (Wohnflächenverordnung - WoFlV) anzugeben. 
Bei Geschäftsgrundstücken ist die Nutzfläche grundsätzlich nach der DIN 277 zu ermitteln. Sofern nach Aktenlage die Ermittlung der Nutzfläche nach der Richtlinie zur Berechnung der Mietfläche für gewerblichen Raum MF/G der gif (Gesellschaft für Immobilienwirtschaftliche Forschung e. V.) oder vergleichbarer Regelwerke erfolgte, bestehen keine Bedenken, diese hilfsweise anzuwenden.</t>
        </r>
        <r>
          <rPr>
            <b/>
            <sz val="9"/>
            <color indexed="81"/>
            <rFont val="Tahoma"/>
            <family val="2"/>
          </rPr>
          <t xml:space="preserve">
</t>
        </r>
      </text>
    </comment>
    <comment ref="D13" authorId="0" shapeId="0" xr:uid="{00000000-0006-0000-0000-000007000000}">
      <text>
        <r>
          <rPr>
            <sz val="9"/>
            <color indexed="81"/>
            <rFont val="Tahoma"/>
            <family val="2"/>
          </rPr>
          <t xml:space="preserve">Anzugeben ist die Anzahl der erworbenen Garagenstellplätze. Als Garagenstellplätze gelten nur allseitig umschlossene Stellplätze für Personenkraftwagen. Carports gehören somit nicht zu Garagenstellplätzen. 
</t>
        </r>
      </text>
    </comment>
    <comment ref="I13" authorId="0" shapeId="0" xr:uid="{00000000-0006-0000-0000-000008000000}">
      <text>
        <r>
          <rPr>
            <sz val="9"/>
            <color indexed="81"/>
            <rFont val="Tahoma"/>
            <family val="2"/>
          </rPr>
          <t>Anzugeben ist die Anzahl der erworbenen Tiefgaragenstellplätze.</t>
        </r>
      </text>
    </comment>
    <comment ref="D15" authorId="0" shapeId="0" xr:uid="{00000000-0006-0000-0000-000009000000}">
      <text>
        <r>
          <rPr>
            <sz val="9"/>
            <color indexed="81"/>
            <rFont val="Tahoma"/>
            <family val="2"/>
          </rPr>
          <t>Bei Wohnungseigentum ist der Miteigentumsanteil anzugeben. Der Miteigentumsanteil ist im Wohnungseigentumsrecht (§§ 1008 ff. BGB, WEG) ein rechnerischer Bruchteil am gemeinschaftlichen Eigentum einer Wohnungseigentümergemeinschaft. In der Regel werden die Bruchstücke als Teile von 1.000 angegeben, bei größeren Objekten auch von 10.000 oder mehr [z. B. 70 (Zähler) / 1000 (Nenner)].
Entsprechendes gilt bei Teileigentum.</t>
        </r>
      </text>
    </comment>
    <comment ref="I15" authorId="0" shapeId="0" xr:uid="{00000000-0006-0000-0000-00000A000000}">
      <text>
        <r>
          <rPr>
            <sz val="9"/>
            <color indexed="81"/>
            <rFont val="Tahoma"/>
            <family val="2"/>
          </rPr>
          <t>Bei Wohnungseigentum ist der Miteigentumsanteil anzugeben. Der Miteigentumsanteil ist im Wohnungseigentumsrecht (§§ 1008 ff. BGB, WEG) ein rechnerischer Bruchteil am gemeinschaftlichen Eigentum einer Wohnungseigentümergemeinschaft. In der Regel werden die Bruchstücke als Teile von 1.000 angegeben, bei größeren Objekten auch von 10.000 oder mehr [z. B. 70 (Zähler) / 1000 (Nenner)].
Entsprechendes gilt bei Teileigentum.</t>
        </r>
      </text>
    </comment>
    <comment ref="D17" authorId="0" shapeId="0" xr:uid="{00000000-0006-0000-0000-00000B000000}">
      <text>
        <r>
          <rPr>
            <sz val="9"/>
            <color indexed="81"/>
            <rFont val="Tahoma"/>
            <family val="2"/>
          </rPr>
          <t>In der Regel (Ausnahme vgl. zu Ziffern 13 und 14) ist hier die gesamte Größe des Grundstücks in m² anzugeben. Es bestehen keine Bedenken, als Grundstücksgröße die Summe der im Kaufvertrag genannten Grundstücksgrößen (Flurstücke) zu erfassen.</t>
        </r>
      </text>
    </comment>
    <comment ref="I17" authorId="0" shapeId="0" xr:uid="{00000000-0006-0000-0000-00000C000000}">
      <text>
        <r>
          <rPr>
            <sz val="9"/>
            <color indexed="81"/>
            <rFont val="Tahoma"/>
            <family val="2"/>
          </rPr>
          <t>Der Bodenrichtwert (§ 196 Absatz 1 BauGB) ist der durchschnittliche Lagewert des Bodens für eine Mehrheit von Grundstücken innerhalb eines abgegrenzten Gebiets (Bodenrichtwertzone), die nach ihren Grundstücksmerkmalen (§ 2 Absatz 3 Immobilienwertermittlungsverordnung - ImmoWertV) weitgehend übereinstimmen und für die im Wesentlichen gleiche allgemeine Wertverhältnisse (§ 2 Absatz 2 ImmoWertV) vorliegen. Er ist bezogen auf den Quadratmeter Grundstücksfläche eines Grundstücks mit den dargestellten Grundstücksmerkmalen (Bodenrichtwertgrundstück). Anzugeben ist der Bodenrichtwert, der für die jeweilige Bodenrichtwertzone von dem zuständigen Gutachterausschuss beim Kreis oder bei der Gemeinde bzw. Stadt gemäß § 196 des Baugesetzbuchs (BauGB) turnusmäßig zum letzten Ermittlungsstichtag vor dem Abschluss des Kaufvertrages ermittelt wurde. Auf die in der Berechnung integrierte Verlinkung zu entsprechenden Auskunftsstellen wird hingewiesen.</t>
        </r>
      </text>
    </comment>
    <comment ref="F20" authorId="0" shapeId="0" xr:uid="{00000000-0006-0000-0000-00000D000000}">
      <text>
        <r>
          <rPr>
            <sz val="9"/>
            <color indexed="81"/>
            <rFont val="Tahoma"/>
            <family val="2"/>
          </rPr>
          <t>In besonderen Einzelfällen kann es erforderlich sein, hinsichtlich der Grundstücksgröße und den Wertverhältnissen zu differenzieren.
Ist das Grundstück insbesondere größer als die vom zuständigen Gutachterausschuss veröffentlichte wertbestimmende Grundstücksgröße des Bodenrichtwertgrundstücks bestehen keine Bedenken, im Rahmen der Kaufpreisaufteilung diese Teilflächen regelmäßig mit 25 Prozent des Bodenrichtwerts zu bewerten. Sofern vom Gutachterausschuss keine wertbestimmende Grundstücksgröße für das Bodenrichtwertgrundstück veröffentlicht wurde, kann bei Ein- und Zweifamilienhäusern hilfsweise als übliche Grundstücksgröße 500 m² angenommen werden.</t>
        </r>
      </text>
    </comment>
    <comment ref="I20" authorId="0" shapeId="0" xr:uid="{00000000-0006-0000-0000-00000E000000}">
      <text>
        <r>
          <rPr>
            <sz val="9"/>
            <color indexed="81"/>
            <rFont val="Tahoma"/>
            <family val="2"/>
          </rPr>
          <t xml:space="preserve">In besonderen Einzelfällen kann es erforderlich sein, hinsichtlich der Grundstücksgröße und den Wertverhältnissen zu differenzieren.
Ist das Grundstück insbesondere größer als die vom zuständigen Gutachterausschuss veröffentlichte wertbestimmende Grundstücksgröße des Bodenrichtwertgrundstücks bestehen keine Bedenken, im Rahmen der Kaufpreisaufteilung diese Teilflächen regelmäßig mit 25 Prozent des Bodenrichtwerts zu bewerten. Sofern vom Gutachterausschuss keine wertbestimmende Grundstücksgröße für das Bodenrichtwertgrundstück veröffentlicht wurde, kann bei Ein- und Zweifamilienhäusern hilfsweise als übliche Grundstücksgröße 500 m² angenommen werden.
</t>
        </r>
      </text>
    </comment>
    <comment ref="F26" authorId="1" shapeId="0" xr:uid="{00000000-0006-0000-0000-00000F000000}">
      <text>
        <r>
          <rPr>
            <b/>
            <sz val="9"/>
            <color indexed="81"/>
            <rFont val="Segoe UI"/>
            <family val="2"/>
          </rPr>
          <t xml:space="preserve">Auswahlfeld:
Ja </t>
        </r>
        <r>
          <rPr>
            <sz val="9"/>
            <color indexed="81"/>
            <rFont val="Segoe UI"/>
            <family val="2"/>
          </rPr>
          <t>oder</t>
        </r>
        <r>
          <rPr>
            <b/>
            <sz val="9"/>
            <color indexed="81"/>
            <rFont val="Segoe UI"/>
            <family val="2"/>
          </rPr>
          <t xml:space="preserve"> Nein</t>
        </r>
        <r>
          <rPr>
            <sz val="9"/>
            <color indexed="81"/>
            <rFont val="Segoe UI"/>
            <family val="2"/>
          </rPr>
          <t xml:space="preserve">
</t>
        </r>
      </text>
    </comment>
    <comment ref="I26" authorId="1" shapeId="0" xr:uid="{00000000-0006-0000-0000-000010000000}">
      <text>
        <r>
          <rPr>
            <sz val="9"/>
            <color indexed="81"/>
            <rFont val="Segoe UI"/>
            <family val="2"/>
          </rPr>
          <t>Üblicherweise bezieht sich der Vergleichsfaktor auf die Wohn- bzw. Nutzfläche. Im Bereich einzelner Gutachterausschüsse wird auch die Bruttogrundfläche als Bezugsmaßstab angewandt. Die Information ist den Informationen zum Vergleichsfaktor, hierbei insbesondere dem Grundstücksmarktbericht, zu entnehmen.</t>
        </r>
      </text>
    </comment>
    <comment ref="D28" authorId="1" shapeId="0" xr:uid="{00000000-0006-0000-0000-000011000000}">
      <text>
        <r>
          <rPr>
            <b/>
            <sz val="9"/>
            <color indexed="81"/>
            <rFont val="Segoe UI"/>
            <family val="2"/>
          </rPr>
          <t xml:space="preserve">Vergleichsfaktoren dienen der Ermittlung von Vergleichswerten für bebaute Grundstücke, hier Wohnungseigentum: 
</t>
        </r>
        <r>
          <rPr>
            <sz val="9"/>
            <color indexed="81"/>
            <rFont val="Segoe UI"/>
            <family val="2"/>
          </rPr>
          <t xml:space="preserve">- Vergleichsfaktoren sind durchschnittliche, auf eine geeignete Bezugseinheit bezogene Werte für Grundstücke mit bestimmten wertbeeinflussenden Grundstücksmerkmalen (Normobjekte).
- Zur Ermittlung des objektspezifisch angepassten Vergleichsfaktors ist in dem hier vereinfachten Verfahren nach Möglichkeit (d.h. sofern zum Normobjekt abweichende Merkmale bekannt) der ermittelte Vergleichsfaktor auf seine Eignung zu prüfen und bei etwaigen Abweichungen an die Gegebenheiten des Wertermittlungsobjekts anzupassen.
Anzuwenden sind die für den </t>
        </r>
        <r>
          <rPr>
            <b/>
            <sz val="9"/>
            <color indexed="81"/>
            <rFont val="Segoe UI"/>
            <family val="2"/>
          </rPr>
          <t xml:space="preserve">Anschaffungszeitpunkt </t>
        </r>
        <r>
          <rPr>
            <sz val="9"/>
            <color indexed="81"/>
            <rFont val="Segoe UI"/>
            <family val="2"/>
          </rPr>
          <t xml:space="preserve">(Abschluss des Kaufvertrages) maßgeblichen Vergleichsfaktoren.
</t>
        </r>
        <r>
          <rPr>
            <b/>
            <sz val="9"/>
            <color indexed="81"/>
            <rFont val="Segoe UI"/>
            <family val="2"/>
          </rPr>
          <t xml:space="preserve">
Herkunft der Vergleichsfaktoren: </t>
        </r>
        <r>
          <rPr>
            <sz val="9"/>
            <color indexed="81"/>
            <rFont val="Segoe UI"/>
            <family val="2"/>
          </rPr>
          <t xml:space="preserve">Örtlicher Gutachterausschuss oder Boden- bzw. Immobilienrichtwertinformationssystem des jeweilgen Bundeslandes.
</t>
        </r>
      </text>
    </comment>
    <comment ref="H28" authorId="1" shapeId="0" xr:uid="{00000000-0006-0000-0000-000012000000}">
      <text>
        <r>
          <rPr>
            <b/>
            <sz val="9"/>
            <color indexed="81"/>
            <rFont val="Segoe UI"/>
            <family val="2"/>
          </rPr>
          <t>Sofern objektspezifisch angepasster Vergleichsfaktor angegeben:</t>
        </r>
        <r>
          <rPr>
            <sz val="9"/>
            <color indexed="81"/>
            <rFont val="Segoe UI"/>
            <family val="2"/>
          </rPr>
          <t xml:space="preserve">
Erläuterung der Merkmale und Anpassungshöhe.
</t>
        </r>
      </text>
    </comment>
    <comment ref="F31" authorId="1" shapeId="0" xr:uid="{00000000-0006-0000-0000-000013000000}">
      <text>
        <r>
          <rPr>
            <b/>
            <sz val="9"/>
            <color indexed="81"/>
            <rFont val="Segoe UI"/>
            <family val="2"/>
          </rPr>
          <t xml:space="preserve">Vergleichsfaktoren dienen der Ermittlung von Vergleichswerten für bebaute Grundstücke, hier Garagenstellplätze: 
</t>
        </r>
        <r>
          <rPr>
            <sz val="9"/>
            <color indexed="81"/>
            <rFont val="Segoe UI"/>
            <family val="2"/>
          </rPr>
          <t xml:space="preserve">Vergleichsfaktoren sind durchschnittliche, auf </t>
        </r>
        <r>
          <rPr>
            <b/>
            <sz val="9"/>
            <color indexed="81"/>
            <rFont val="Segoe UI"/>
            <family val="2"/>
          </rPr>
          <t>einen</t>
        </r>
        <r>
          <rPr>
            <sz val="9"/>
            <color indexed="81"/>
            <rFont val="Segoe UI"/>
            <family val="2"/>
          </rPr>
          <t xml:space="preserve"> Garagenstellplatz bezogene Werte.
</t>
        </r>
        <r>
          <rPr>
            <b/>
            <sz val="9"/>
            <color indexed="81"/>
            <rFont val="Segoe UI"/>
            <family val="2"/>
          </rPr>
          <t xml:space="preserve">
Herkunft der Vergleichsfaktoren:</t>
        </r>
        <r>
          <rPr>
            <sz val="9"/>
            <color indexed="81"/>
            <rFont val="Segoe UI"/>
            <family val="2"/>
          </rPr>
          <t xml:space="preserve"> Örtlicher Gutachterausschuss oder Boden- bzw. Immobilienrichtwertinformationssystem des jeweilgen Bundeslandes.
</t>
        </r>
      </text>
    </comment>
    <comment ref="F33" authorId="1" shapeId="0" xr:uid="{00000000-0006-0000-0000-000014000000}">
      <text>
        <r>
          <rPr>
            <b/>
            <sz val="9"/>
            <color indexed="81"/>
            <rFont val="Segoe UI"/>
            <family val="2"/>
          </rPr>
          <t xml:space="preserve">Vergleichsfaktoren dienen der Ermittlung von Vergleichswerten für bebaute Grundstücke, hier Tiefgaragenstellplätze:
</t>
        </r>
        <r>
          <rPr>
            <sz val="9"/>
            <color indexed="81"/>
            <rFont val="Segoe UI"/>
            <family val="2"/>
          </rPr>
          <t xml:space="preserve">Vergleichsfaktoren sind durchschnittliche, auf </t>
        </r>
        <r>
          <rPr>
            <b/>
            <sz val="9"/>
            <color indexed="81"/>
            <rFont val="Segoe UI"/>
            <family val="2"/>
          </rPr>
          <t>einen</t>
        </r>
        <r>
          <rPr>
            <sz val="9"/>
            <color indexed="81"/>
            <rFont val="Segoe UI"/>
            <family val="2"/>
          </rPr>
          <t xml:space="preserve"> Tiefgaragenstellplatz bezogene Werte.
</t>
        </r>
        <r>
          <rPr>
            <b/>
            <sz val="9"/>
            <color indexed="81"/>
            <rFont val="Segoe UI"/>
            <family val="2"/>
          </rPr>
          <t xml:space="preserve">
Herkunft der Vergleichsfaktoren:</t>
        </r>
        <r>
          <rPr>
            <sz val="9"/>
            <color indexed="81"/>
            <rFont val="Segoe UI"/>
            <family val="2"/>
          </rPr>
          <t xml:space="preserve"> Örtlicher Gutachterausschuss oder Boden- bzw. Immobilienrichtwertinformationssystem des jeweilgen Bundeslandes.
</t>
        </r>
      </text>
    </comment>
    <comment ref="I37" authorId="2" shapeId="0" xr:uid="{00000000-0006-0000-0000-000015000000}">
      <text>
        <r>
          <rPr>
            <sz val="9"/>
            <color indexed="81"/>
            <rFont val="Segoe UI"/>
            <family val="2"/>
          </rPr>
          <t xml:space="preserve">Der Liegenschaftszinssatz ist die für eine spezifische Grundstücksart nach dem Ertragswertmodell der ImmoWertV abgeleitete Verzinsung. Dieser wird idR. durch die örtlichen Gutachterausschüsse in den Grundstücksmarktberichten veröffentlicht. 
Anzuwenden ist der für den </t>
        </r>
        <r>
          <rPr>
            <b/>
            <sz val="9"/>
            <color indexed="81"/>
            <rFont val="Segoe UI"/>
            <family val="2"/>
          </rPr>
          <t>Anschaffungszeitpunkt</t>
        </r>
        <r>
          <rPr>
            <sz val="9"/>
            <color indexed="81"/>
            <rFont val="Segoe UI"/>
            <family val="2"/>
          </rPr>
          <t xml:space="preserve"> (Abschluss des Kaufvertrages) maßgebliche Liegenschaftszinssatz.
Sofern kein Liegenschaftszinssatz vorliegt bzw. bekannt ist, so wird im Rahmen dieser Arbeitshilfe hilfsweise ein Zinssatz in Abhängigkeit von der Grundstücksart, dem Datum des Kaufvertrages und der Höhe des Bodenrichtwertes als Schätzung beigestellt.</t>
        </r>
      </text>
    </comment>
    <comment ref="F38" authorId="1" shapeId="0" xr:uid="{00000000-0006-0000-0000-000016000000}">
      <text>
        <r>
          <rPr>
            <b/>
            <sz val="9"/>
            <color indexed="81"/>
            <rFont val="Segoe UI"/>
            <family val="2"/>
          </rPr>
          <t xml:space="preserve">Auswahlfeld:
Ja </t>
        </r>
        <r>
          <rPr>
            <sz val="9"/>
            <color indexed="81"/>
            <rFont val="Segoe UI"/>
            <family val="2"/>
          </rPr>
          <t>oder</t>
        </r>
        <r>
          <rPr>
            <b/>
            <sz val="9"/>
            <color indexed="81"/>
            <rFont val="Segoe UI"/>
            <family val="2"/>
          </rPr>
          <t xml:space="preserve"> Nein</t>
        </r>
      </text>
    </comment>
    <comment ref="F40" authorId="1" shapeId="0" xr:uid="{00000000-0006-0000-0000-000017000000}">
      <text>
        <r>
          <rPr>
            <sz val="9"/>
            <color indexed="81"/>
            <rFont val="Segoe UI"/>
            <family val="2"/>
          </rPr>
          <t xml:space="preserve">Rohertrag ist das Entgelt, das für die Benutzung des bebauten Grundstücks nach den am </t>
        </r>
        <r>
          <rPr>
            <b/>
            <sz val="9"/>
            <color indexed="81"/>
            <rFont val="Segoe UI"/>
            <family val="2"/>
          </rPr>
          <t xml:space="preserve">Anschaffungszeitpunkt </t>
        </r>
        <r>
          <rPr>
            <sz val="9"/>
            <color indexed="81"/>
            <rFont val="Segoe UI"/>
            <family val="2"/>
          </rPr>
          <t xml:space="preserve">geltenden vertraglichen Vereinbarungen und den rechtlichen Gegebenheiten zu zahlen ist. </t>
        </r>
        <r>
          <rPr>
            <b/>
            <sz val="9"/>
            <color indexed="81"/>
            <rFont val="Segoe UI"/>
            <family val="2"/>
          </rPr>
          <t xml:space="preserve">
&gt;&gt;&gt; Tatsächliche (vertraglich vereinbarte) Mieten </t>
        </r>
        <r>
          <rPr>
            <sz val="9"/>
            <color indexed="81"/>
            <rFont val="Segoe UI"/>
            <family val="2"/>
          </rPr>
          <t xml:space="preserve">(sog. Nettokaltmieten):
          - ohne frühere Jahre,
          - ohne verrechnete Mietkautionen,
          - ohne Umlagen, verrechnet mit Erstattungen 
             (z. B. Wassergeld, Flur- u. Kellerbeleuchtung, Müllabfuhr, Zentralheizung usw.) und
          - ggf. bei Gewerbeimmobilien incl. verrechneter Umsatzsteuer
(Bei Leerstand wird die ortsübliche Miete angesetzt.)
</t>
        </r>
        <r>
          <rPr>
            <b/>
            <sz val="9"/>
            <color indexed="81"/>
            <rFont val="Segoe UI"/>
            <family val="2"/>
          </rPr>
          <t xml:space="preserve">&gt;&gt;&gt; </t>
        </r>
        <r>
          <rPr>
            <sz val="9"/>
            <color indexed="81"/>
            <rFont val="Segoe UI"/>
            <family val="2"/>
          </rPr>
          <t xml:space="preserve"> </t>
        </r>
        <r>
          <rPr>
            <b/>
            <sz val="9"/>
            <color indexed="81"/>
            <rFont val="Segoe UI"/>
            <family val="2"/>
          </rPr>
          <t xml:space="preserve">Die ortsübliche Vergleichsmiete </t>
        </r>
        <r>
          <rPr>
            <sz val="9"/>
            <color indexed="81"/>
            <rFont val="Segoe UI"/>
            <family val="2"/>
          </rPr>
          <t xml:space="preserve">wird gebildet aus den üblichen Entgelten, die in der Gemeinde oder einer vergleichbaren Gemeinde für Wohnraum vergleichbarer </t>
        </r>
        <r>
          <rPr>
            <b/>
            <sz val="9"/>
            <color indexed="81"/>
            <rFont val="Segoe UI"/>
            <family val="2"/>
          </rPr>
          <t>Art, Größe, Ausstattung, Beschaffenheit und Lage</t>
        </r>
        <r>
          <rPr>
            <sz val="9"/>
            <color indexed="81"/>
            <rFont val="Segoe UI"/>
            <family val="2"/>
          </rPr>
          <t xml:space="preserve"> einschließlich der energetischen </t>
        </r>
        <r>
          <rPr>
            <b/>
            <sz val="9"/>
            <color indexed="81"/>
            <rFont val="Segoe UI"/>
            <family val="2"/>
          </rPr>
          <t xml:space="preserve">Ausstattung und Beschaffenheit </t>
        </r>
        <r>
          <rPr>
            <sz val="9"/>
            <color indexed="81"/>
            <rFont val="Segoe UI"/>
            <family val="2"/>
          </rPr>
          <t>in den letzten sechs Jahren vereinbart oder, von Erhöhungen nach § 560 BGB abgesehen, geändert worden sind.</t>
        </r>
      </text>
    </comment>
    <comment ref="F42" authorId="1" shapeId="0" xr:uid="{00000000-0006-0000-0000-000018000000}">
      <text>
        <r>
          <rPr>
            <sz val="9"/>
            <color indexed="81"/>
            <rFont val="Segoe UI"/>
            <family val="2"/>
          </rPr>
          <t xml:space="preserve">Eintragung nur bei Mietwohngrundstücken: Bei Mietwohngrundstücken wirkt sich die Anzahl der Wohnungen und ggf. der sonstigen Einheiten auf die Ermittlung der Bewirtschaftungskosten aus.
</t>
        </r>
      </text>
    </comment>
    <comment ref="F47" authorId="1" shapeId="0" xr:uid="{00000000-0006-0000-0000-000019000000}">
      <text>
        <r>
          <rPr>
            <sz val="9"/>
            <color indexed="81"/>
            <rFont val="Segoe UI"/>
            <family val="2"/>
          </rPr>
          <t xml:space="preserve">Die dem Sachwertverfahren zugrundeliegenden durchschnittlichen Normalherstellungskosten 2010 aus der Anlage 4 der ImmoWertV sind nach § 36 Absatz 1 ImmoWertV grundsätzlich mittels eines Regionalfaktors an die regionalen Baupreisverhältnisse anzupassen. 
Insbesondere der örtliche zuständige Gutachterausschuss kann eine Anpassung durch Festlegung eines von 1,0 abweichenden Regionalfaktors vorgeben. Sofern Ihnen ein Regionalfaktor vorliegt, der vom zuständigen Gutachterausschuss bei der Ableitung der Sachwertfaktoren (siehe zu Ziffer 26) zugrunde gelegt worden ist, geben Sie diesen bitte an. 
Anzuwenden ist der für den </t>
        </r>
        <r>
          <rPr>
            <b/>
            <sz val="9"/>
            <color indexed="81"/>
            <rFont val="Segoe UI"/>
            <family val="2"/>
          </rPr>
          <t>Anschaffungszeitpunkt</t>
        </r>
        <r>
          <rPr>
            <sz val="9"/>
            <color indexed="81"/>
            <rFont val="Segoe UI"/>
            <family val="2"/>
          </rPr>
          <t xml:space="preserve"> (Abschluss des Kaufvertrages) maßgebliche Regionalfaktor.
Sofern ein derartiger Regionalfaktor nicht zur Verfügung steht, wird im Rahmen der typisierten Schätzung hilfsweise ein Regionalfaktor von 1,0 angenommen.
</t>
        </r>
      </text>
    </comment>
    <comment ref="I47" authorId="1" shapeId="0" xr:uid="{00000000-0006-0000-0000-00001A000000}">
      <text>
        <r>
          <rPr>
            <sz val="9"/>
            <color indexed="81"/>
            <rFont val="Segoe UI"/>
            <family val="2"/>
          </rPr>
          <t xml:space="preserve">Mit Sachwertfaktoren werden die allgemeinen Wertverhältnisse auf dem Grundstücksmarkt berücksichtigt. Anzuwenden ist der für den Anschaffungszeitpunkt (Abschluss des Kaufvertrages) maßgebliche Sachwertfaktor.
Sofern Ihnen ein Sachwertfaktor (Marktanpassungsfaktor) des zuständigen Gutachterausschusses für die vorliegende Grundstücksart bekannt ist, geben Sie diesen bitte an. Sofern ein derartiger Sachwertfaktor nicht zur Verfügung steht, wird im Rahmen der typisierten Schätzung hilfsweise ein Sachwertfaktor von 1,0 berücksichtigt.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Jardin, Andreas (OFD-Rhld)</author>
    <author>Jardin, Andreas (OFD, St 25)</author>
    <author>Andreas Jardin</author>
  </authors>
  <commentList>
    <comment ref="K2" authorId="0" shapeId="0" xr:uid="{00000000-0006-0000-0500-000001000000}">
      <text>
        <r>
          <rPr>
            <b/>
            <sz val="8"/>
            <color indexed="81"/>
            <rFont val="Tahoma"/>
            <family val="2"/>
          </rPr>
          <t>weitgehend gemäß Zwischenentwurf</t>
        </r>
      </text>
    </comment>
    <comment ref="E8" authorId="0" shapeId="0" xr:uid="{00000000-0006-0000-0500-000002000000}">
      <text>
        <r>
          <rPr>
            <b/>
            <sz val="8"/>
            <color indexed="81"/>
            <rFont val="Tahoma"/>
            <family val="2"/>
          </rPr>
          <t>Werte hergleitet!</t>
        </r>
        <r>
          <rPr>
            <sz val="8"/>
            <color indexed="81"/>
            <rFont val="Tahoma"/>
            <family val="2"/>
          </rPr>
          <t xml:space="preserve">
</t>
        </r>
      </text>
    </comment>
    <comment ref="F8" authorId="0" shapeId="0" xr:uid="{00000000-0006-0000-0500-000003000000}">
      <text>
        <r>
          <rPr>
            <b/>
            <sz val="8"/>
            <color indexed="81"/>
            <rFont val="Tahoma"/>
            <family val="2"/>
          </rPr>
          <t xml:space="preserve">Werte hergleitet!
</t>
        </r>
        <r>
          <rPr>
            <sz val="8"/>
            <color indexed="81"/>
            <rFont val="Tahoma"/>
            <family val="2"/>
          </rPr>
          <t xml:space="preserve">
</t>
        </r>
      </text>
    </comment>
    <comment ref="E9" authorId="0" shapeId="0" xr:uid="{00000000-0006-0000-0500-000004000000}">
      <text>
        <r>
          <rPr>
            <b/>
            <sz val="8"/>
            <color indexed="81"/>
            <rFont val="Tahoma"/>
            <family val="2"/>
          </rPr>
          <t>Werte hergleitet!</t>
        </r>
        <r>
          <rPr>
            <sz val="8"/>
            <color indexed="81"/>
            <rFont val="Tahoma"/>
            <family val="2"/>
          </rPr>
          <t xml:space="preserve">
</t>
        </r>
      </text>
    </comment>
    <comment ref="F9" authorId="0" shapeId="0" xr:uid="{00000000-0006-0000-0500-000005000000}">
      <text>
        <r>
          <rPr>
            <b/>
            <sz val="8"/>
            <color indexed="81"/>
            <rFont val="Tahoma"/>
            <family val="2"/>
          </rPr>
          <t xml:space="preserve">Werte hergleitet!
</t>
        </r>
        <r>
          <rPr>
            <sz val="8"/>
            <color indexed="81"/>
            <rFont val="Tahoma"/>
            <family val="2"/>
          </rPr>
          <t xml:space="preserve">
</t>
        </r>
      </text>
    </comment>
    <comment ref="E10" authorId="0" shapeId="0" xr:uid="{00000000-0006-0000-0500-000006000000}">
      <text>
        <r>
          <rPr>
            <b/>
            <sz val="8"/>
            <color indexed="81"/>
            <rFont val="Tahoma"/>
            <family val="2"/>
          </rPr>
          <t>Werte hergleitet!</t>
        </r>
        <r>
          <rPr>
            <sz val="8"/>
            <color indexed="81"/>
            <rFont val="Tahoma"/>
            <family val="2"/>
          </rPr>
          <t xml:space="preserve">
</t>
        </r>
      </text>
    </comment>
    <comment ref="F10" authorId="0" shapeId="0" xr:uid="{00000000-0006-0000-0500-000007000000}">
      <text>
        <r>
          <rPr>
            <b/>
            <sz val="8"/>
            <color indexed="81"/>
            <rFont val="Tahoma"/>
            <family val="2"/>
          </rPr>
          <t xml:space="preserve">Werte hergleitet!
</t>
        </r>
        <r>
          <rPr>
            <sz val="8"/>
            <color indexed="81"/>
            <rFont val="Tahoma"/>
            <family val="2"/>
          </rPr>
          <t xml:space="preserve">
</t>
        </r>
      </text>
    </comment>
    <comment ref="D11" authorId="0" shapeId="0" xr:uid="{00000000-0006-0000-0500-000008000000}">
      <text>
        <r>
          <rPr>
            <b/>
            <sz val="8"/>
            <color indexed="81"/>
            <rFont val="Tahoma"/>
            <family val="2"/>
          </rPr>
          <t>Aufteilung gem SW-RL</t>
        </r>
        <r>
          <rPr>
            <sz val="8"/>
            <color indexed="81"/>
            <rFont val="Tahoma"/>
            <family val="2"/>
          </rPr>
          <t xml:space="preserve">
</t>
        </r>
      </text>
    </comment>
    <comment ref="E11" authorId="0" shapeId="0" xr:uid="{00000000-0006-0000-0500-000009000000}">
      <text>
        <r>
          <rPr>
            <b/>
            <sz val="8"/>
            <color indexed="81"/>
            <rFont val="Tahoma"/>
            <family val="2"/>
          </rPr>
          <t>Werte hergleitet!</t>
        </r>
        <r>
          <rPr>
            <sz val="8"/>
            <color indexed="81"/>
            <rFont val="Tahoma"/>
            <family val="2"/>
          </rPr>
          <t xml:space="preserve">
</t>
        </r>
      </text>
    </comment>
    <comment ref="F11" authorId="0" shapeId="0" xr:uid="{00000000-0006-0000-0500-00000A000000}">
      <text>
        <r>
          <rPr>
            <b/>
            <sz val="8"/>
            <color indexed="81"/>
            <rFont val="Tahoma"/>
            <family val="2"/>
          </rPr>
          <t xml:space="preserve">Werte hergleitet!
</t>
        </r>
        <r>
          <rPr>
            <sz val="8"/>
            <color indexed="81"/>
            <rFont val="Tahoma"/>
            <family val="2"/>
          </rPr>
          <t xml:space="preserve">
</t>
        </r>
      </text>
    </comment>
    <comment ref="J11" authorId="0" shapeId="0" xr:uid="{00000000-0006-0000-0500-00000B000000}">
      <text>
        <r>
          <rPr>
            <b/>
            <sz val="8"/>
            <color indexed="81"/>
            <rFont val="Tahoma"/>
            <family val="2"/>
          </rPr>
          <t xml:space="preserve">Schätzung basierend auf Modelberechnung
</t>
        </r>
      </text>
    </comment>
    <comment ref="E12" authorId="0" shapeId="0" xr:uid="{00000000-0006-0000-0500-00000C000000}">
      <text>
        <r>
          <rPr>
            <b/>
            <sz val="8"/>
            <color indexed="81"/>
            <rFont val="Tahoma"/>
            <family val="2"/>
          </rPr>
          <t>Werte hergleitet!</t>
        </r>
        <r>
          <rPr>
            <sz val="8"/>
            <color indexed="81"/>
            <rFont val="Tahoma"/>
            <family val="2"/>
          </rPr>
          <t xml:space="preserve">
</t>
        </r>
      </text>
    </comment>
    <comment ref="F12" authorId="0" shapeId="0" xr:uid="{00000000-0006-0000-0500-00000D000000}">
      <text>
        <r>
          <rPr>
            <b/>
            <sz val="8"/>
            <color indexed="81"/>
            <rFont val="Tahoma"/>
            <family val="2"/>
          </rPr>
          <t xml:space="preserve">Werte hergleitet!
</t>
        </r>
        <r>
          <rPr>
            <sz val="8"/>
            <color indexed="81"/>
            <rFont val="Tahoma"/>
            <family val="2"/>
          </rPr>
          <t xml:space="preserve">
</t>
        </r>
      </text>
    </comment>
    <comment ref="J12" authorId="0" shapeId="0" xr:uid="{00000000-0006-0000-0500-00000E000000}">
      <text>
        <r>
          <rPr>
            <b/>
            <sz val="8"/>
            <color indexed="81"/>
            <rFont val="Tahoma"/>
            <family val="2"/>
          </rPr>
          <t xml:space="preserve">Schätzung basierend auf Modelberechnung
</t>
        </r>
      </text>
    </comment>
    <comment ref="D13" authorId="0" shapeId="0" xr:uid="{00000000-0006-0000-0500-00000F000000}">
      <text>
        <r>
          <rPr>
            <b/>
            <sz val="8"/>
            <color indexed="81"/>
            <rFont val="Tahoma"/>
            <family val="2"/>
          </rPr>
          <t>Aufteilung gem SW-RL</t>
        </r>
        <r>
          <rPr>
            <sz val="8"/>
            <color indexed="81"/>
            <rFont val="Tahoma"/>
            <family val="2"/>
          </rPr>
          <t xml:space="preserve">
</t>
        </r>
      </text>
    </comment>
    <comment ref="E13" authorId="0" shapeId="0" xr:uid="{00000000-0006-0000-0500-000010000000}">
      <text>
        <r>
          <rPr>
            <b/>
            <sz val="8"/>
            <color indexed="81"/>
            <rFont val="Tahoma"/>
            <family val="2"/>
          </rPr>
          <t>Werte hergleitet!</t>
        </r>
        <r>
          <rPr>
            <sz val="8"/>
            <color indexed="81"/>
            <rFont val="Tahoma"/>
            <family val="2"/>
          </rPr>
          <t xml:space="preserve">
</t>
        </r>
      </text>
    </comment>
    <comment ref="F13" authorId="0" shapeId="0" xr:uid="{00000000-0006-0000-0500-000011000000}">
      <text>
        <r>
          <rPr>
            <b/>
            <sz val="8"/>
            <color indexed="81"/>
            <rFont val="Tahoma"/>
            <family val="2"/>
          </rPr>
          <t xml:space="preserve">Werte hergleitet!
</t>
        </r>
        <r>
          <rPr>
            <sz val="8"/>
            <color indexed="81"/>
            <rFont val="Tahoma"/>
            <family val="2"/>
          </rPr>
          <t xml:space="preserve">
</t>
        </r>
      </text>
    </comment>
    <comment ref="J13" authorId="0" shapeId="0" xr:uid="{00000000-0006-0000-0500-000012000000}">
      <text>
        <r>
          <rPr>
            <b/>
            <sz val="8"/>
            <color indexed="81"/>
            <rFont val="Tahoma"/>
            <family val="2"/>
          </rPr>
          <t xml:space="preserve">Schätzung basierend auf Modelberechnung
</t>
        </r>
      </text>
    </comment>
    <comment ref="E14" authorId="0" shapeId="0" xr:uid="{00000000-0006-0000-0500-000013000000}">
      <text>
        <r>
          <rPr>
            <b/>
            <sz val="8"/>
            <color indexed="81"/>
            <rFont val="Tahoma"/>
            <family val="2"/>
          </rPr>
          <t>Werte hergleitet!</t>
        </r>
        <r>
          <rPr>
            <sz val="8"/>
            <color indexed="81"/>
            <rFont val="Tahoma"/>
            <family val="2"/>
          </rPr>
          <t xml:space="preserve">
</t>
        </r>
      </text>
    </comment>
    <comment ref="F14" authorId="0" shapeId="0" xr:uid="{00000000-0006-0000-0500-000014000000}">
      <text>
        <r>
          <rPr>
            <b/>
            <sz val="8"/>
            <color indexed="81"/>
            <rFont val="Tahoma"/>
            <family val="2"/>
          </rPr>
          <t xml:space="preserve">Werte hergleitet!
</t>
        </r>
        <r>
          <rPr>
            <sz val="8"/>
            <color indexed="81"/>
            <rFont val="Tahoma"/>
            <family val="2"/>
          </rPr>
          <t xml:space="preserve">
</t>
        </r>
      </text>
    </comment>
    <comment ref="J14" authorId="0" shapeId="0" xr:uid="{00000000-0006-0000-0500-000015000000}">
      <text>
        <r>
          <rPr>
            <b/>
            <sz val="8"/>
            <color indexed="81"/>
            <rFont val="Tahoma"/>
            <family val="2"/>
          </rPr>
          <t xml:space="preserve">Schätzung basierend auf Modelberechnung
</t>
        </r>
      </text>
    </comment>
    <comment ref="E15" authorId="0" shapeId="0" xr:uid="{00000000-0006-0000-0500-000016000000}">
      <text>
        <r>
          <rPr>
            <b/>
            <sz val="8"/>
            <color indexed="81"/>
            <rFont val="Tahoma"/>
            <family val="2"/>
          </rPr>
          <t>Werte hergleitet!</t>
        </r>
        <r>
          <rPr>
            <sz val="8"/>
            <color indexed="81"/>
            <rFont val="Tahoma"/>
            <family val="2"/>
          </rPr>
          <t xml:space="preserve">
</t>
        </r>
      </text>
    </comment>
    <comment ref="F15" authorId="0" shapeId="0" xr:uid="{00000000-0006-0000-0500-000017000000}">
      <text>
        <r>
          <rPr>
            <b/>
            <sz val="8"/>
            <color indexed="81"/>
            <rFont val="Tahoma"/>
            <family val="2"/>
          </rPr>
          <t xml:space="preserve">Werte hergleitet!
</t>
        </r>
        <r>
          <rPr>
            <sz val="8"/>
            <color indexed="81"/>
            <rFont val="Tahoma"/>
            <family val="2"/>
          </rPr>
          <t xml:space="preserve">
</t>
        </r>
      </text>
    </comment>
    <comment ref="J15" authorId="0" shapeId="0" xr:uid="{00000000-0006-0000-0500-000018000000}">
      <text>
        <r>
          <rPr>
            <b/>
            <sz val="8"/>
            <color indexed="81"/>
            <rFont val="Tahoma"/>
            <family val="2"/>
          </rPr>
          <t>Schätzung basierend auf Modelberechnung</t>
        </r>
      </text>
    </comment>
    <comment ref="E16" authorId="0" shapeId="0" xr:uid="{00000000-0006-0000-0500-000019000000}">
      <text>
        <r>
          <rPr>
            <b/>
            <sz val="8"/>
            <color indexed="81"/>
            <rFont val="Tahoma"/>
            <family val="2"/>
          </rPr>
          <t>Werte hergleitet!</t>
        </r>
        <r>
          <rPr>
            <sz val="8"/>
            <color indexed="81"/>
            <rFont val="Tahoma"/>
            <family val="2"/>
          </rPr>
          <t xml:space="preserve">
</t>
        </r>
      </text>
    </comment>
    <comment ref="F16" authorId="0" shapeId="0" xr:uid="{00000000-0006-0000-0500-00001A000000}">
      <text>
        <r>
          <rPr>
            <b/>
            <sz val="8"/>
            <color indexed="81"/>
            <rFont val="Tahoma"/>
            <family val="2"/>
          </rPr>
          <t xml:space="preserve">Werte hergleitet!
</t>
        </r>
        <r>
          <rPr>
            <sz val="8"/>
            <color indexed="81"/>
            <rFont val="Tahoma"/>
            <family val="2"/>
          </rPr>
          <t xml:space="preserve">
</t>
        </r>
      </text>
    </comment>
    <comment ref="J16" authorId="0" shapeId="0" xr:uid="{00000000-0006-0000-0500-00001B000000}">
      <text>
        <r>
          <rPr>
            <b/>
            <sz val="8"/>
            <color indexed="81"/>
            <rFont val="Tahoma"/>
            <family val="2"/>
          </rPr>
          <t>Schätzung basierend auf Modelberechnung</t>
        </r>
      </text>
    </comment>
    <comment ref="E17" authorId="0" shapeId="0" xr:uid="{00000000-0006-0000-0500-00001C000000}">
      <text>
        <r>
          <rPr>
            <b/>
            <sz val="8"/>
            <color indexed="81"/>
            <rFont val="Tahoma"/>
            <family val="2"/>
          </rPr>
          <t>Werte hergleitet!</t>
        </r>
        <r>
          <rPr>
            <sz val="8"/>
            <color indexed="81"/>
            <rFont val="Tahoma"/>
            <family val="2"/>
          </rPr>
          <t xml:space="preserve">
</t>
        </r>
      </text>
    </comment>
    <comment ref="F17" authorId="0" shapeId="0" xr:uid="{00000000-0006-0000-0500-00001D000000}">
      <text>
        <r>
          <rPr>
            <b/>
            <sz val="8"/>
            <color indexed="81"/>
            <rFont val="Tahoma"/>
            <family val="2"/>
          </rPr>
          <t xml:space="preserve">Werte hergleitet!
</t>
        </r>
        <r>
          <rPr>
            <sz val="8"/>
            <color indexed="81"/>
            <rFont val="Tahoma"/>
            <family val="2"/>
          </rPr>
          <t xml:space="preserve">
</t>
        </r>
      </text>
    </comment>
    <comment ref="J17" authorId="0" shapeId="0" xr:uid="{00000000-0006-0000-0500-00001E000000}">
      <text>
        <r>
          <rPr>
            <b/>
            <sz val="8"/>
            <color indexed="81"/>
            <rFont val="Tahoma"/>
            <family val="2"/>
          </rPr>
          <t>Schätzung basierend auf Modelberechnung</t>
        </r>
      </text>
    </comment>
    <comment ref="E18" authorId="0" shapeId="0" xr:uid="{00000000-0006-0000-0500-00001F000000}">
      <text>
        <r>
          <rPr>
            <b/>
            <sz val="8"/>
            <color indexed="81"/>
            <rFont val="Tahoma"/>
            <family val="2"/>
          </rPr>
          <t>Werte hergleitet!</t>
        </r>
        <r>
          <rPr>
            <sz val="8"/>
            <color indexed="81"/>
            <rFont val="Tahoma"/>
            <family val="2"/>
          </rPr>
          <t xml:space="preserve">
</t>
        </r>
      </text>
    </comment>
    <comment ref="F18" authorId="0" shapeId="0" xr:uid="{00000000-0006-0000-0500-000020000000}">
      <text>
        <r>
          <rPr>
            <b/>
            <sz val="8"/>
            <color indexed="81"/>
            <rFont val="Tahoma"/>
            <family val="2"/>
          </rPr>
          <t xml:space="preserve">Werte hergleitet!
</t>
        </r>
        <r>
          <rPr>
            <sz val="8"/>
            <color indexed="81"/>
            <rFont val="Tahoma"/>
            <family val="2"/>
          </rPr>
          <t xml:space="preserve">
</t>
        </r>
      </text>
    </comment>
    <comment ref="J18" authorId="0" shapeId="0" xr:uid="{00000000-0006-0000-0500-000021000000}">
      <text>
        <r>
          <rPr>
            <b/>
            <sz val="8"/>
            <color indexed="81"/>
            <rFont val="Tahoma"/>
            <family val="2"/>
          </rPr>
          <t>Schätzung basierend auf Modelberechnung</t>
        </r>
      </text>
    </comment>
    <comment ref="E19" authorId="0" shapeId="0" xr:uid="{00000000-0006-0000-0500-000022000000}">
      <text>
        <r>
          <rPr>
            <b/>
            <sz val="8"/>
            <color indexed="81"/>
            <rFont val="Tahoma"/>
            <family val="2"/>
          </rPr>
          <t>Werte hergleitet!</t>
        </r>
        <r>
          <rPr>
            <sz val="8"/>
            <color indexed="81"/>
            <rFont val="Tahoma"/>
            <family val="2"/>
          </rPr>
          <t xml:space="preserve">
</t>
        </r>
      </text>
    </comment>
    <comment ref="F19" authorId="0" shapeId="0" xr:uid="{00000000-0006-0000-0500-000023000000}">
      <text>
        <r>
          <rPr>
            <b/>
            <sz val="8"/>
            <color indexed="81"/>
            <rFont val="Tahoma"/>
            <family val="2"/>
          </rPr>
          <t xml:space="preserve">Werte hergleitet!
</t>
        </r>
        <r>
          <rPr>
            <sz val="8"/>
            <color indexed="81"/>
            <rFont val="Tahoma"/>
            <family val="2"/>
          </rPr>
          <t xml:space="preserve">
</t>
        </r>
      </text>
    </comment>
    <comment ref="J19" authorId="0" shapeId="0" xr:uid="{00000000-0006-0000-0500-000024000000}">
      <text>
        <r>
          <rPr>
            <b/>
            <sz val="8"/>
            <color indexed="81"/>
            <rFont val="Tahoma"/>
            <family val="2"/>
          </rPr>
          <t>Schätzung basierend auf Modelberechnung</t>
        </r>
      </text>
    </comment>
    <comment ref="E20" authorId="0" shapeId="0" xr:uid="{00000000-0006-0000-0500-000025000000}">
      <text>
        <r>
          <rPr>
            <b/>
            <sz val="8"/>
            <color indexed="81"/>
            <rFont val="Tahoma"/>
            <family val="2"/>
          </rPr>
          <t>Werte hergleitet!</t>
        </r>
        <r>
          <rPr>
            <sz val="8"/>
            <color indexed="81"/>
            <rFont val="Tahoma"/>
            <family val="2"/>
          </rPr>
          <t xml:space="preserve">
</t>
        </r>
      </text>
    </comment>
    <comment ref="F20" authorId="0" shapeId="0" xr:uid="{00000000-0006-0000-0500-000026000000}">
      <text>
        <r>
          <rPr>
            <b/>
            <sz val="8"/>
            <color indexed="81"/>
            <rFont val="Tahoma"/>
            <family val="2"/>
          </rPr>
          <t xml:space="preserve">Werte hergleitet!
</t>
        </r>
        <r>
          <rPr>
            <sz val="8"/>
            <color indexed="81"/>
            <rFont val="Tahoma"/>
            <family val="2"/>
          </rPr>
          <t xml:space="preserve">
</t>
        </r>
      </text>
    </comment>
    <comment ref="J20" authorId="0" shapeId="0" xr:uid="{00000000-0006-0000-0500-000027000000}">
      <text>
        <r>
          <rPr>
            <b/>
            <sz val="8"/>
            <color indexed="81"/>
            <rFont val="Tahoma"/>
            <family val="2"/>
          </rPr>
          <t>Schätzung basierend auf Modelberechnung</t>
        </r>
      </text>
    </comment>
    <comment ref="E21" authorId="0" shapeId="0" xr:uid="{00000000-0006-0000-0500-000028000000}">
      <text>
        <r>
          <rPr>
            <b/>
            <sz val="8"/>
            <color indexed="81"/>
            <rFont val="Tahoma"/>
            <family val="2"/>
          </rPr>
          <t>Werte hergleitet!</t>
        </r>
        <r>
          <rPr>
            <sz val="8"/>
            <color indexed="81"/>
            <rFont val="Tahoma"/>
            <family val="2"/>
          </rPr>
          <t xml:space="preserve">
</t>
        </r>
      </text>
    </comment>
    <comment ref="F21" authorId="0" shapeId="0" xr:uid="{00000000-0006-0000-0500-000029000000}">
      <text>
        <r>
          <rPr>
            <b/>
            <sz val="8"/>
            <color indexed="81"/>
            <rFont val="Tahoma"/>
            <family val="2"/>
          </rPr>
          <t xml:space="preserve">Werte hergleitet!
</t>
        </r>
        <r>
          <rPr>
            <sz val="8"/>
            <color indexed="81"/>
            <rFont val="Tahoma"/>
            <family val="2"/>
          </rPr>
          <t xml:space="preserve">
</t>
        </r>
      </text>
    </comment>
    <comment ref="J21" authorId="0" shapeId="0" xr:uid="{00000000-0006-0000-0500-00002A000000}">
      <text>
        <r>
          <rPr>
            <b/>
            <sz val="8"/>
            <color indexed="81"/>
            <rFont val="Tahoma"/>
            <family val="2"/>
          </rPr>
          <t>Schätzung basierend auf Modelberechnung</t>
        </r>
      </text>
    </comment>
    <comment ref="E22" authorId="0" shapeId="0" xr:uid="{00000000-0006-0000-0500-00002B000000}">
      <text>
        <r>
          <rPr>
            <b/>
            <sz val="8"/>
            <color indexed="81"/>
            <rFont val="Tahoma"/>
            <family val="2"/>
          </rPr>
          <t>Werte hergleitet!</t>
        </r>
        <r>
          <rPr>
            <sz val="8"/>
            <color indexed="81"/>
            <rFont val="Tahoma"/>
            <family val="2"/>
          </rPr>
          <t xml:space="preserve">
</t>
        </r>
      </text>
    </comment>
    <comment ref="F22" authorId="0" shapeId="0" xr:uid="{00000000-0006-0000-0500-00002C000000}">
      <text>
        <r>
          <rPr>
            <b/>
            <sz val="8"/>
            <color indexed="81"/>
            <rFont val="Tahoma"/>
            <family val="2"/>
          </rPr>
          <t xml:space="preserve">Werte hergleitet!
</t>
        </r>
        <r>
          <rPr>
            <sz val="8"/>
            <color indexed="81"/>
            <rFont val="Tahoma"/>
            <family val="2"/>
          </rPr>
          <t xml:space="preserve">
</t>
        </r>
      </text>
    </comment>
    <comment ref="J22" authorId="0" shapeId="0" xr:uid="{00000000-0006-0000-0500-00002D000000}">
      <text>
        <r>
          <rPr>
            <b/>
            <sz val="8"/>
            <color indexed="81"/>
            <rFont val="Tahoma"/>
            <family val="2"/>
          </rPr>
          <t>Schätzung basierend auf Modelberechnung</t>
        </r>
      </text>
    </comment>
    <comment ref="Q33" authorId="0" shapeId="0" xr:uid="{00000000-0006-0000-0500-00002E000000}">
      <text>
        <r>
          <rPr>
            <b/>
            <sz val="8"/>
            <color indexed="81"/>
            <rFont val="Tahoma"/>
            <family val="2"/>
          </rPr>
          <t>Wert ist nicht plausibel!</t>
        </r>
      </text>
    </comment>
    <comment ref="D35" authorId="1" shapeId="0" xr:uid="{00000000-0006-0000-0500-00002F000000}">
      <text>
        <r>
          <rPr>
            <b/>
            <sz val="9"/>
            <color indexed="81"/>
            <rFont val="Tahoma"/>
            <family val="2"/>
          </rPr>
          <t xml:space="preserve">ermittelt mit Korrekturfaktor 1,05 bezogen auf die Regelherstellungskosten für freistehende Einfamilienhäuser
</t>
        </r>
      </text>
    </comment>
    <comment ref="D36" authorId="1" shapeId="0" xr:uid="{00000000-0006-0000-0500-000030000000}">
      <text>
        <r>
          <rPr>
            <b/>
            <sz val="9"/>
            <color indexed="81"/>
            <rFont val="Tahoma"/>
            <family val="2"/>
          </rPr>
          <t xml:space="preserve">ermittelt mit Korrekturfaktor 1,05 bezogen auf die Regelherstellungskosten für freistehende Einfamilienhäuser
</t>
        </r>
      </text>
    </comment>
    <comment ref="D37" authorId="1" shapeId="0" xr:uid="{00000000-0006-0000-0500-000031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38" authorId="1" shapeId="0" xr:uid="{00000000-0006-0000-0500-000032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39" authorId="1" shapeId="0" xr:uid="{00000000-0006-0000-0500-000033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40" authorId="1" shapeId="0" xr:uid="{00000000-0006-0000-0500-000034000000}">
      <text>
        <r>
          <rPr>
            <b/>
            <sz val="9"/>
            <color indexed="81"/>
            <rFont val="Tahoma"/>
            <family val="2"/>
          </rPr>
          <t xml:space="preserve">ermittelt mit Korrekturfaktor 1,05 bezogen auf die Regelherstellungskosten für freistehende Einfamilienhäuser
</t>
        </r>
      </text>
    </comment>
    <comment ref="D41" authorId="1" shapeId="0" xr:uid="{00000000-0006-0000-0500-000035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42" authorId="1" shapeId="0" xr:uid="{00000000-0006-0000-0500-000036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43" authorId="1" shapeId="0" xr:uid="{00000000-0006-0000-0500-000037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44" authorId="1" shapeId="0" xr:uid="{00000000-0006-0000-0500-000038000000}">
      <text>
        <r>
          <rPr>
            <b/>
            <sz val="9"/>
            <color indexed="81"/>
            <rFont val="Tahoma"/>
            <family val="2"/>
          </rPr>
          <t xml:space="preserve">ermittelt mit Korrekturfaktor 1,05 bezogen auf die Regelherstellungskosten für freistehende Einfamilienhäuser
</t>
        </r>
      </text>
    </comment>
    <comment ref="D45" authorId="1" shapeId="0" xr:uid="{00000000-0006-0000-0500-000039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D46" authorId="1" shapeId="0" xr:uid="{00000000-0006-0000-0500-00003A000000}">
      <text>
        <r>
          <rPr>
            <b/>
            <sz val="9"/>
            <color indexed="81"/>
            <rFont val="Tahoma"/>
            <family val="2"/>
          </rPr>
          <t xml:space="preserve">ermittelt mit Korrekturfaktor 1,05 bezogen auf die Regelherstellungskosten für freistehende Einfamilienhäuser
</t>
        </r>
      </text>
    </comment>
    <comment ref="G74" authorId="2" shapeId="0" xr:uid="{00000000-0006-0000-0500-00003B000000}">
      <text>
        <r>
          <rPr>
            <b/>
            <sz val="9"/>
            <color indexed="81"/>
            <rFont val="Segoe UI"/>
            <family val="2"/>
          </rPr>
          <t xml:space="preserve">qm Wert aus NHK 2010, Flächen geschätzt
</t>
        </r>
      </text>
    </comment>
    <comment ref="H74" authorId="2" shapeId="0" xr:uid="{00000000-0006-0000-0500-00003C000000}">
      <text>
        <r>
          <rPr>
            <b/>
            <sz val="9"/>
            <color indexed="81"/>
            <rFont val="Segoe UI"/>
            <family val="2"/>
          </rPr>
          <t>qm Wert aus NHK 2010, Flächen geschätzt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Jardin, Andreas (OFD-Rhld)</author>
    <author>Jardin, Andreas (OFD, St 25)</author>
  </authors>
  <commentList>
    <comment ref="A12" authorId="0" shapeId="0" xr:uid="{00000000-0006-0000-0800-000002000000}">
      <text>
        <r>
          <rPr>
            <b/>
            <sz val="8"/>
            <color indexed="81"/>
            <rFont val="Tahoma"/>
            <family val="2"/>
          </rPr>
          <t>Aufteilung gem SW-RL</t>
        </r>
        <r>
          <rPr>
            <sz val="8"/>
            <color indexed="81"/>
            <rFont val="Tahoma"/>
            <family val="2"/>
          </rPr>
          <t xml:space="preserve">
</t>
        </r>
      </text>
    </comment>
    <comment ref="A14" authorId="0" shapeId="0" xr:uid="{00000000-0006-0000-0800-000003000000}">
      <text>
        <r>
          <rPr>
            <b/>
            <sz val="8"/>
            <color indexed="81"/>
            <rFont val="Tahoma"/>
            <family val="2"/>
          </rPr>
          <t>Aufteilung gem SW-RL</t>
        </r>
        <r>
          <rPr>
            <sz val="8"/>
            <color indexed="81"/>
            <rFont val="Tahoma"/>
            <family val="2"/>
          </rPr>
          <t xml:space="preserve">
</t>
        </r>
      </text>
    </comment>
    <comment ref="A36" authorId="1" shapeId="0" xr:uid="{00000000-0006-0000-0800-000004000000}">
      <text>
        <r>
          <rPr>
            <b/>
            <sz val="9"/>
            <color indexed="81"/>
            <rFont val="Tahoma"/>
            <family val="2"/>
          </rPr>
          <t xml:space="preserve">ermittelt mit Korrekturfaktor 1,05 bezogen auf die Regelherstellungskosten für freistehende Einfamilienhäuser
</t>
        </r>
      </text>
    </comment>
    <comment ref="A37" authorId="1" shapeId="0" xr:uid="{00000000-0006-0000-0800-000005000000}">
      <text>
        <r>
          <rPr>
            <b/>
            <sz val="9"/>
            <color indexed="81"/>
            <rFont val="Tahoma"/>
            <family val="2"/>
          </rPr>
          <t xml:space="preserve">ermittelt mit Korrekturfaktor 1,05 bezogen auf die Regelherstellungskosten für freistehende Einfamilienhäuser
</t>
        </r>
      </text>
    </comment>
    <comment ref="A38" authorId="1" shapeId="0" xr:uid="{00000000-0006-0000-0800-000006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39" authorId="1" shapeId="0" xr:uid="{00000000-0006-0000-0800-000007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0" authorId="1" shapeId="0" xr:uid="{00000000-0006-0000-0800-000008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1" authorId="1" shapeId="0" xr:uid="{00000000-0006-0000-0800-000009000000}">
      <text>
        <r>
          <rPr>
            <b/>
            <sz val="9"/>
            <color indexed="81"/>
            <rFont val="Tahoma"/>
            <family val="2"/>
          </rPr>
          <t xml:space="preserve">ermittelt mit Korrekturfaktor 1,05 bezogen auf die Regelherstellungskosten für freistehende Einfamilienhäuser
</t>
        </r>
      </text>
    </comment>
    <comment ref="A42" authorId="1" shapeId="0" xr:uid="{00000000-0006-0000-0800-00000A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3" authorId="1" shapeId="0" xr:uid="{00000000-0006-0000-0800-00000B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4" authorId="1" shapeId="0" xr:uid="{00000000-0006-0000-0800-00000C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5" authorId="1" shapeId="0" xr:uid="{00000000-0006-0000-0800-00000D000000}">
      <text>
        <r>
          <rPr>
            <b/>
            <sz val="9"/>
            <color indexed="81"/>
            <rFont val="Tahoma"/>
            <family val="2"/>
          </rPr>
          <t xml:space="preserve">ermittelt mit Korrekturfaktor 1,05 bezogen auf die Regelherstellungskosten für freistehende Einfamilienhäuser
</t>
        </r>
      </text>
    </comment>
    <comment ref="A46" authorId="1" shapeId="0" xr:uid="{00000000-0006-0000-0800-00000E000000}">
      <text>
        <r>
          <rPr>
            <b/>
            <sz val="9"/>
            <color indexed="81"/>
            <rFont val="Tahoma"/>
            <family val="2"/>
          </rPr>
          <t xml:space="preserve">ermittelt mit Korrekturfaktor 1,05 bezogen auf die Regelherstellungskosten für freistehende Einfamilienhäuser
</t>
        </r>
        <r>
          <rPr>
            <sz val="9"/>
            <color indexed="81"/>
            <rFont val="Tahoma"/>
            <family val="2"/>
          </rPr>
          <t xml:space="preserve">
</t>
        </r>
      </text>
    </comment>
    <comment ref="A47" authorId="1" shapeId="0" xr:uid="{00000000-0006-0000-0800-00000F000000}">
      <text>
        <r>
          <rPr>
            <b/>
            <sz val="9"/>
            <color indexed="81"/>
            <rFont val="Tahoma"/>
            <family val="2"/>
          </rPr>
          <t xml:space="preserve">ermittelt mit Korrekturfaktor 1,05 bezogen auf die Regelherstellungskosten für freistehende Einfamilienhäuser
</t>
        </r>
      </text>
    </comment>
  </commentList>
</comments>
</file>

<file path=xl/sharedStrings.xml><?xml version="1.0" encoding="utf-8"?>
<sst xmlns="http://schemas.openxmlformats.org/spreadsheetml/2006/main" count="688" uniqueCount="409">
  <si>
    <t>1.01</t>
  </si>
  <si>
    <t>2.01</t>
  </si>
  <si>
    <t>3.01</t>
  </si>
  <si>
    <t>1.11</t>
  </si>
  <si>
    <t>2.11</t>
  </si>
  <si>
    <t>3.11</t>
  </si>
  <si>
    <t>1.21</t>
  </si>
  <si>
    <t>2.21</t>
  </si>
  <si>
    <t>3.21</t>
  </si>
  <si>
    <t>1.31</t>
  </si>
  <si>
    <t>2.31</t>
  </si>
  <si>
    <t>3.31</t>
  </si>
  <si>
    <t>1.02</t>
  </si>
  <si>
    <t>2.02</t>
  </si>
  <si>
    <t>3.02</t>
  </si>
  <si>
    <t>1.12</t>
  </si>
  <si>
    <t>2.12</t>
  </si>
  <si>
    <t>3.12</t>
  </si>
  <si>
    <t>1.22</t>
  </si>
  <si>
    <t>2.22</t>
  </si>
  <si>
    <t>3.22</t>
  </si>
  <si>
    <t>1.32</t>
  </si>
  <si>
    <t>2.32</t>
  </si>
  <si>
    <t>3.32</t>
  </si>
  <si>
    <t>freistehende Einfamilienhäuser, 
Erdgeschoss, nicht unterkellert,
Dachgeschoss voll ausgebaut</t>
  </si>
  <si>
    <t>Doppel- und Reihenendhäuser, 
Erdgeschoss, nicht unterkellert,
Dachgeschoss voll ausgebaut</t>
  </si>
  <si>
    <t>Reihenmittelhäuser,
Erdgeschoss, nicht unterkellert,
Dachgeschoss voll ausgebaut</t>
  </si>
  <si>
    <t>freistehende Einfamilienhäuser, 
Erd-, Obergeschoss, nicht unterkellert,
Dachgeschoss voll ausgebaut</t>
  </si>
  <si>
    <t>Doppel- und Reihenendhäuser, 
Erd-, Obergeschoss, nicht unterkellert,
Dachgeschoss voll ausgebaut</t>
  </si>
  <si>
    <t>Reihenmittelhäuser, 
Erd-, Obergeschoss, nicht unterkellert,
Dachgeschoss voll ausgebaut</t>
  </si>
  <si>
    <t>Doppel- und Reihenendhäuser, 
Erdgeschoss, nicht unterkellert,
Dachgeschoss nicht ausgebaut</t>
  </si>
  <si>
    <t>Reihenmittelhäuser,
Erdgeschoss, nicht unterkellert,
Dachgeschoss nicht ausgebaut</t>
  </si>
  <si>
    <t>freistehende Einfamilienhäuser, 
Erd-, Obergeschoss, nicht unterkellert,
Dachgeschoss nicht ausgebaut</t>
  </si>
  <si>
    <t>1.03</t>
  </si>
  <si>
    <t>2.03</t>
  </si>
  <si>
    <t>3.03</t>
  </si>
  <si>
    <t>3.13</t>
  </si>
  <si>
    <t>2.13</t>
  </si>
  <si>
    <t>1.13</t>
  </si>
  <si>
    <t>1.23</t>
  </si>
  <si>
    <t>2.23</t>
  </si>
  <si>
    <t>3.23</t>
  </si>
  <si>
    <t>1.33</t>
  </si>
  <si>
    <t>2.33</t>
  </si>
  <si>
    <t>3.33</t>
  </si>
  <si>
    <t>freistehende Einfamilienhäuser, 
Erdgeschoss, nicht unterkellert,
Flachdach oder flach geneigtes Dach</t>
  </si>
  <si>
    <t>Doppel- und Reihenendhäuser, 
Erdgeschoss, nicht unterkellert,
Flachdach oder flach geneigtes Dach</t>
  </si>
  <si>
    <t>Reihenmittelhäuser,
Erdgeschoss, nicht unterkellert,
Flachdach oder flach geneigtes Dach</t>
  </si>
  <si>
    <t>freistehende Einfamilienhäuser, 
Erd-, Obergeschoss, nicht unterkellert,
Flachdach oder flach geneigtes Dach</t>
  </si>
  <si>
    <t>Doppel- und Reihenendhäuser, 
Erd-, Obergeschoss, nicht unterkellert,
Flachdach oder flach geneigtes Dach</t>
  </si>
  <si>
    <t>Reihenmittelhäuser, 
Erd-, Obergeschoss, nicht unterkellert,
Flachdach oder flach geneigtes Dach</t>
  </si>
  <si>
    <t>Doppel- und Reihenendhäuser, 
Erd-, Obergeschoss, nicht unterkellert,
Dachgeschoss nicht ausgebaut</t>
  </si>
  <si>
    <t>Reihenmittelhäuser, 
Erd-, Obergeschoss, nicht unterkellert,
Dachgeschoss nicht ausgebaut</t>
  </si>
  <si>
    <t>4.1</t>
  </si>
  <si>
    <t>Mehrfamilienhäuser 
mit bis zu 6 WE</t>
  </si>
  <si>
    <t>5.1</t>
  </si>
  <si>
    <t>Banken und Geschäftshäuser 
mit Wohnungen</t>
  </si>
  <si>
    <t>Wohnhäuser
mit Mischnutzung</t>
  </si>
  <si>
    <t>Berechnung</t>
  </si>
  <si>
    <t>Grund und Boden</t>
  </si>
  <si>
    <t>x</t>
  </si>
  <si>
    <t>=</t>
  </si>
  <si>
    <t>Kaufpreisaufteilung</t>
  </si>
  <si>
    <t>Grund und Boden:</t>
  </si>
  <si>
    <t>BGF-Kostenkennwerte</t>
  </si>
  <si>
    <t>Wfl-Kostenkennwerte</t>
  </si>
  <si>
    <t>GND</t>
  </si>
  <si>
    <t>Jahr, Quartal</t>
  </si>
  <si>
    <t>Index:</t>
  </si>
  <si>
    <t>Baupreisindex:</t>
  </si>
  <si>
    <t>Einzelgaragen</t>
  </si>
  <si>
    <t>Tiefgaragen</t>
  </si>
  <si>
    <t>NHK 2010</t>
  </si>
  <si>
    <t xml:space="preserve">Baujahr </t>
  </si>
  <si>
    <t>5.2, 5.3</t>
  </si>
  <si>
    <t>6.1 , 6.2</t>
  </si>
  <si>
    <t>Geschäftsgrundstücke, Bürogebäude</t>
  </si>
  <si>
    <t xml:space="preserve">Ein- und Zweifamilienhäuser [EFH/ZFH]  (ohne weitere Angaben)  </t>
  </si>
  <si>
    <t>Mietwohngrundstücke (Mehrfamilienhäuser)</t>
  </si>
  <si>
    <t>Forschungsbericht BKI</t>
  </si>
  <si>
    <t>BGF/
Wohnfläche
Arbeits-gruppe SW-RL</t>
  </si>
  <si>
    <t>wie Spalte6</t>
  </si>
  <si>
    <t>&lt;1995</t>
  </si>
  <si>
    <t>GND in Jahre</t>
  </si>
  <si>
    <t xml:space="preserve">KKW der THK in  € </t>
  </si>
  <si>
    <t>KKW bei Wohneigentum in €</t>
  </si>
  <si>
    <t>Zwischenwert in €:</t>
  </si>
  <si>
    <t>Bodenwert</t>
  </si>
  <si>
    <r>
      <rPr>
        <b/>
        <sz val="14"/>
        <color indexed="8"/>
        <rFont val="Arial"/>
        <family val="2"/>
      </rPr>
      <t>Statistisches Bundesamt</t>
    </r>
    <r>
      <rPr>
        <b/>
        <sz val="10"/>
        <color indexed="8"/>
        <rFont val="Arial"/>
        <family val="2"/>
      </rPr>
      <t xml:space="preserve">
Fachserie 17 Reihe 4
Preisindizes für die Bauwirtschaf</t>
    </r>
    <r>
      <rPr>
        <sz val="10"/>
        <color theme="1"/>
        <rFont val="Arial"/>
        <family val="2"/>
      </rPr>
      <t xml:space="preserve">t
Preisindizes für den Neubau von Nichtwohngebäuden, Sonstigen Bauwerken und
Absolute Werte (Langfristige Übersicht)
Instandhaltung von Wohngebäuden einschl. Umsatzsteuer *) </t>
    </r>
  </si>
  <si>
    <t>Wert nach Alterswertminderung 
Restwert in %
(Mindestrestwert 30%):</t>
  </si>
  <si>
    <t>&gt;=2005</t>
  </si>
  <si>
    <t>1995-2004</t>
  </si>
  <si>
    <t>Bayern  www.boris-bayern.de</t>
  </si>
  <si>
    <t>Bremen  www.gutachterausschuss.bremen.de</t>
  </si>
  <si>
    <t>Niedersachsen  www.gag.niedersachsen.de</t>
  </si>
  <si>
    <t>Nordrhein-Westfalen  www.boris.nrw.de</t>
  </si>
  <si>
    <t>Sachsen-Anhalt  www.lvermgeo.sachsen-anhalt.de</t>
  </si>
  <si>
    <t>Schleswig-Holstein  www.gutachterausschuesse-sh.de/gutachter.html</t>
  </si>
  <si>
    <t>Baujahr</t>
  </si>
  <si>
    <t>Kaufpreisanteile</t>
  </si>
  <si>
    <t>Summe:</t>
  </si>
  <si>
    <t xml:space="preserve">ermittelte Einzelwerte   </t>
  </si>
  <si>
    <t>Gebäudewert</t>
  </si>
  <si>
    <t>Dacherneuerung inkl. Verbesserung der Wärmedämmung</t>
  </si>
  <si>
    <t>Modernisierung der Fenster und Außentüren</t>
  </si>
  <si>
    <t>Modernisierung der Leitungssysteme (Strom, Gas, Wasser, Abwasser)</t>
  </si>
  <si>
    <t>Modernisierung der Heizungsanlage</t>
  </si>
  <si>
    <t>Wärmedämmung der Außenwände</t>
  </si>
  <si>
    <t>Modernisierung von Bädern</t>
  </si>
  <si>
    <t>Modernisierung des Innenausbaus, z. B. Decken, Fußböden, Treppen</t>
  </si>
  <si>
    <t>Wesentliche Verbesserung der Grundrissgestaltung</t>
  </si>
  <si>
    <t>gewählte Punkte</t>
  </si>
  <si>
    <t xml:space="preserve">Modernisierungsgrad: </t>
  </si>
  <si>
    <t>Ursprüngliches Baujahr</t>
  </si>
  <si>
    <t>Fiktives Baujahr</t>
  </si>
  <si>
    <t>Modernisierungselemente</t>
  </si>
  <si>
    <t>Außenanlagen pauschal 3% (einschl. Außenstellplätze, Erschließung und Einfriedung)</t>
  </si>
  <si>
    <t>Grundstücksart:</t>
  </si>
  <si>
    <t>Wohnfläche (bzw. Nutzfläche) in m²</t>
  </si>
  <si>
    <t>Wohngebäude, insgesamt</t>
  </si>
  <si>
    <t>Nichtwohngebäude, Bürogebäude</t>
  </si>
  <si>
    <r>
      <t xml:space="preserve">durchgreifende  Modernisierung
</t>
    </r>
    <r>
      <rPr>
        <sz val="8"/>
        <rFont val="Arial"/>
        <family val="2"/>
      </rPr>
      <t>(ja, nein, teilweise</t>
    </r>
    <r>
      <rPr>
        <vertAlign val="superscript"/>
        <sz val="8"/>
        <rFont val="Arial"/>
        <family val="2"/>
      </rPr>
      <t>2</t>
    </r>
    <r>
      <rPr>
        <sz val="8"/>
        <rFont val="Arial"/>
        <family val="2"/>
      </rPr>
      <t>)</t>
    </r>
  </si>
  <si>
    <t>freistehende Einfamilienhäuser, 
KG, Erdgeschoss,
Dachgeschoss voll ausgebaut</t>
  </si>
  <si>
    <t>freistehende Einfamilienhäuser, 
KG, Erdgeschoss,
Dachgeschoss nicht ausgebaut</t>
  </si>
  <si>
    <t>freistehende Einfamilienhäuser, 
KG, Erdgeschoss,
Flachdach oder flach geneigtes Dach</t>
  </si>
  <si>
    <t>freistehende Einfamilienhäuser, 
KG, Erd-, Obergeschoss,
Dachgeschoss voll ausgebaut</t>
  </si>
  <si>
    <t>freistehende Einfamilienhäuser, 
KG, Erd-, Obergeschoss,
Dachgeschoss nicht ausgebaut</t>
  </si>
  <si>
    <t>freistehende Einfamilienhäuser, 
KG, Erd-, Obergeschoss,
Flachdach oder flach geneigtes Dach</t>
  </si>
  <si>
    <t>Doppel- und Reihenendhäuser,
KG, Erdgeschoss,
Dachgeschoss voll ausgebaut</t>
  </si>
  <si>
    <t>Doppel- und Reihenendhäuser,
KG, Erdgeschoss,
Dachgeschoss nicht ausgebaut</t>
  </si>
  <si>
    <t>Doppel- und Reihenendhäuser,
KG, Erdgeschoss,
Flachdach oder flach geneigtes Dach</t>
  </si>
  <si>
    <t>Doppel- und Reihenendhäuser, 
KG, Erd-, Obergeschoss,
Dachgeschoss voll ausgebaut</t>
  </si>
  <si>
    <t>Doppel- und Reihenendhäuser, 
KG, Erd-, Obergeschoss,
Dachgeschoss nicht ausgebaut</t>
  </si>
  <si>
    <t>Doppel- und Reihenendhäuser, 
KG, Erd-, Obergeschoss,
Flachdach oder flach geneigtes Dach</t>
  </si>
  <si>
    <t>Reihenmittelhäuser, 
KG, Erdgeschoss,
Dachgeschoss voll ausgebaut</t>
  </si>
  <si>
    <t>Reihenmittelhäuser, 
KG, Erdgeschoss,
Dachgeschoss nicht ausgebaut</t>
  </si>
  <si>
    <t>Reihenmittelhäuser, 
KG, Erdgeschoss,
Flachdach oder flach geneigtes Dach</t>
  </si>
  <si>
    <t>Reihenmittelhäuser, 
KG, Erd-, Obergeschoss,
Dachgeschoss voll ausgebaut</t>
  </si>
  <si>
    <t>Reihenmittelhäuser, 
KG, Erd-, Obergeschoss,
Dachgeschoss nicht ausgebaut</t>
  </si>
  <si>
    <t>Reihenmittelhäuser, 
KG, Erd-, Obergeschoss,
Flachdach oder flach geneigtes Dach</t>
  </si>
  <si>
    <r>
      <t>Übliche Gesamtnutzungsdauer bei ordnungsgemäßer Instandhaltung</t>
    </r>
    <r>
      <rPr>
        <vertAlign val="superscript"/>
        <sz val="8"/>
        <rFont val="Arial"/>
        <family val="2"/>
      </rPr>
      <t>1</t>
    </r>
  </si>
  <si>
    <t>THK* €/m²</t>
  </si>
  <si>
    <r>
      <t>freistehende Zweifamilienhäuser</t>
    </r>
    <r>
      <rPr>
        <b/>
        <vertAlign val="superscript"/>
        <sz val="8"/>
        <color indexed="8"/>
        <rFont val="Times New Roman"/>
        <family val="1"/>
      </rPr>
      <t>1</t>
    </r>
  </si>
  <si>
    <t>1.121</t>
  </si>
  <si>
    <t>1.011</t>
  </si>
  <si>
    <t>1.021</t>
  </si>
  <si>
    <t>1.031</t>
  </si>
  <si>
    <t>1.111</t>
  </si>
  <si>
    <t>1.131</t>
  </si>
  <si>
    <t>1.211</t>
  </si>
  <si>
    <t>1.221</t>
  </si>
  <si>
    <t>1.231</t>
  </si>
  <si>
    <t>1.311</t>
  </si>
  <si>
    <t>1.321</t>
  </si>
  <si>
    <t>1.331</t>
  </si>
  <si>
    <t xml:space="preserve"> x</t>
  </si>
  <si>
    <t>Geschäftsgrundstücke, Geschäftshäuser</t>
  </si>
  <si>
    <t>max. Punkte</t>
  </si>
  <si>
    <t>KPA-Verfalldatum:</t>
  </si>
  <si>
    <t>Sachsen http://www.boris.sachsen.de/</t>
  </si>
  <si>
    <t>Hessen www.boris.hessen.de</t>
  </si>
  <si>
    <t>Mecklenburg-Vorpommern  www.geoportal-mv.de</t>
  </si>
  <si>
    <t>Thüringen  www.geoportal-th.de</t>
  </si>
  <si>
    <t>Teileigentum: Geschäftsgrundstücke (Geschäfts.)</t>
  </si>
  <si>
    <t xml:space="preserve">Teileigentum: Geschäftsgrundstücke (Bürog.) </t>
  </si>
  <si>
    <t xml:space="preserve">10) ggf. Miteigentumsanteil - Nenner:   </t>
  </si>
  <si>
    <t>nein</t>
  </si>
  <si>
    <t>Teileigentum: Mietwohngrundstücke (Mehrfamilienhäuser)</t>
  </si>
  <si>
    <t xml:space="preserve">14) Wert in €/ m²:                                      </t>
  </si>
  <si>
    <t xml:space="preserve">  1) Lage des Grundstücks:</t>
  </si>
  <si>
    <t xml:space="preserve">  2) Grundstückart:</t>
  </si>
  <si>
    <t xml:space="preserve">  3) Datum des Kaufvertrages:</t>
  </si>
  <si>
    <t xml:space="preserve">  7) ggf. Anzahl Garagenstellplätze:</t>
  </si>
  <si>
    <t xml:space="preserve">  9) ggf. Miteigentumsanteil - Zähler:</t>
  </si>
  <si>
    <t xml:space="preserve">12) Bodenrichtwert in €/ m²: 
</t>
  </si>
  <si>
    <t xml:space="preserve">  4) Kaufpreis in € (incl. Nebenkosten):  </t>
  </si>
  <si>
    <t xml:space="preserve">  6) Wohn- bzw. Nutzfläche in m²:           </t>
  </si>
  <si>
    <t xml:space="preserve">  8) ggf. Anzahl Tiefgaragenstellplätze: </t>
  </si>
  <si>
    <t>St-Nr.:</t>
  </si>
  <si>
    <t xml:space="preserve">Anlage zum </t>
  </si>
  <si>
    <t xml:space="preserve">-bescheid für </t>
  </si>
  <si>
    <t>Die Ermittlung der Bemessungsgrundlage für die Gebäudeabschreibung entnehmen Sie bitte der beigefügten Berechnung.</t>
  </si>
  <si>
    <t>Nein</t>
  </si>
  <si>
    <t>1.</t>
  </si>
  <si>
    <t>(gem. Anlage 1 zur SWRL bzw. bei Gebäudearten, bei denen die Standardstufe 2 nicht</t>
  </si>
  <si>
    <t>veröffentlicht ist, gem. Anleitung zur KPA im Beispiel unter 1.)</t>
  </si>
  <si>
    <t>2.</t>
  </si>
  <si>
    <t>(gem. Tabelle aus der Anleitung zur KPA im Beispiel unter 2.)</t>
  </si>
  <si>
    <t>Faktor:</t>
  </si>
  <si>
    <t>3.</t>
  </si>
  <si>
    <t>(SW-RL vom 18.10.2012; Anlage 1 unter 4.; Fußnote 5)</t>
  </si>
  <si>
    <t>Wohnfläche</t>
  </si>
  <si>
    <t>Faktor</t>
  </si>
  <si>
    <t>&lt;= 35 m²</t>
  </si>
  <si>
    <t>&gt;= 135 m²</t>
  </si>
  <si>
    <t>36-134 m²</t>
  </si>
  <si>
    <t>4.</t>
  </si>
  <si>
    <t>Pauschale Erhöhung um 3 % (Berücksichtigung von Außenanlagen)</t>
  </si>
  <si>
    <t>5.</t>
  </si>
  <si>
    <t>Alterswertminderung berechnen (Mindestwert = 30 %)</t>
  </si>
  <si>
    <t>Formel:</t>
  </si>
  <si>
    <t xml:space="preserve">für Geschäftsgrundstücke, </t>
  </si>
  <si>
    <t xml:space="preserve">Geschäftshäuser und Bürogebäude </t>
  </si>
  <si>
    <t>Jahre</t>
  </si>
  <si>
    <t>alle übrigen Gebäudearten</t>
  </si>
  <si>
    <t>6.</t>
  </si>
  <si>
    <t>THK</t>
  </si>
  <si>
    <t>Datum des Kaufvertrages:</t>
  </si>
  <si>
    <t>BGF-Kostenkennwert:</t>
  </si>
  <si>
    <t xml:space="preserve">BGF-Kostenkennwert entspr. Grundstücksart und Baujahr ermitteln </t>
  </si>
  <si>
    <t>Umrechnungsfaktor in Wohn- bzw. Nutzfläche entsprechend der Grundstücksart</t>
  </si>
  <si>
    <t>WF/NF-Kostenkennwert 1:</t>
  </si>
  <si>
    <t>WF/NF-Kostenkennwert 2:</t>
  </si>
  <si>
    <t>0.</t>
  </si>
  <si>
    <t xml:space="preserve">Anpassung aufgrund der Wohnfläche im Falle von Wohnungseigentum   </t>
  </si>
  <si>
    <t>WF/NF-Kostenkennwert 3:</t>
  </si>
  <si>
    <t>WF/NF-Kostenkennwert 4:</t>
  </si>
  <si>
    <t>Rechnerische THK-Erläuterung als Ergänzung der KPA-Anleitung</t>
  </si>
  <si>
    <t>Alterswertminderung in % = (Gesamtnutzungsdauer – Restnutzungsdauer / Gesamtnutzungsdauer) x 100</t>
  </si>
  <si>
    <t>Gesamtnutzungsdauer:</t>
  </si>
  <si>
    <t>Indizierung mit dem Baupreisindex
(Statistisches Bundesamt, Fachserie 17 Reihe 4, Preisindizes für die Bauwirtschaft)</t>
  </si>
  <si>
    <t xml:space="preserve">Finanzamt: </t>
  </si>
  <si>
    <t>Ja</t>
  </si>
  <si>
    <t>▼  Druckbereich  ▼</t>
  </si>
  <si>
    <t xml:space="preserve">Übergang Nutzen-Lasten-Wechsels:  </t>
  </si>
  <si>
    <t>wird nicht gedruckt
▼                      ▼</t>
  </si>
  <si>
    <t>Das Grundstück gehört zum Betriebsvermögen (Ja/Nein):</t>
  </si>
  <si>
    <t>Automatischen Textbaustein ausblenden (Ja/Nein):</t>
  </si>
  <si>
    <t>AfA-Berechnung</t>
  </si>
  <si>
    <t>2015=100</t>
  </si>
  <si>
    <t>2010=100</t>
  </si>
  <si>
    <t>Baden-Württemberg   www.zgg-bw.de</t>
  </si>
  <si>
    <t xml:space="preserve"> </t>
  </si>
  <si>
    <t>Rheinland-Pfalz https://gutachterausschuesse.rlp.de</t>
  </si>
  <si>
    <t>Saarland https://geoportal.saarland.de/article/Bodenrichtwerte/</t>
  </si>
  <si>
    <t>Allgemeines Ertragswertverfahren</t>
  </si>
  <si>
    <t>Jährlicher Rohertrag</t>
  </si>
  <si>
    <t>Bewertungsparameter Ertragswertverfahren</t>
  </si>
  <si>
    <t>≥ 60 Jahre</t>
  </si>
  <si>
    <t>40 bis 59 Jahre</t>
  </si>
  <si>
    <t>20 bis 39 Jahre</t>
  </si>
  <si>
    <t>&lt; 20 Jahre</t>
  </si>
  <si>
    <t>Jährlicher Reinertrag</t>
  </si>
  <si>
    <t>Reinertragsanteil der baulichen Anlagen</t>
  </si>
  <si>
    <t>Barwertfaktor für Kapitalisierung</t>
  </si>
  <si>
    <t>Restnutzungsdauer</t>
  </si>
  <si>
    <t>vorläufiger Ertragswert der baulichen Anlagen</t>
  </si>
  <si>
    <t>zuzüglich Bodenwert</t>
  </si>
  <si>
    <t>vorläufiger Ertragswert</t>
  </si>
  <si>
    <t>Vergleichswertverfahren</t>
  </si>
  <si>
    <t>Vorläufiger Vergleichswert</t>
  </si>
  <si>
    <t>Zinssatz in %</t>
  </si>
  <si>
    <t>Sachwertverfahren</t>
  </si>
  <si>
    <t>Ertragswertverfahren</t>
  </si>
  <si>
    <t>gemischt genutzte Grundstücke, Wohnhäuser mit Mischnutzung (gewerbl. Anteil &lt; 50%)</t>
  </si>
  <si>
    <t xml:space="preserve">Teileigentum: gemischt genutzte Grundstücke (gewerbl. Anteil &lt; 50%) </t>
  </si>
  <si>
    <t>gemischt genutzte Grundstücke, Wohnhäuser mit Mischnutzung (gewerbl. Anteil &gt; 50%)</t>
  </si>
  <si>
    <t xml:space="preserve">Teileigentum: gemischt genutzte Grundstücke  (gewerbl. Anteil &gt; 50%) </t>
  </si>
  <si>
    <t>Berechnung zur Aufteilung eines Grundstückskaufpreises</t>
  </si>
  <si>
    <t xml:space="preserve">           Verweise zu Gutachterausschüssen (GAA) bzw. Bodenrichtwerten
 und Vergleichswerten</t>
  </si>
  <si>
    <t>NR</t>
  </si>
  <si>
    <t>Jahr</t>
  </si>
  <si>
    <t>Ausblenden</t>
  </si>
  <si>
    <t>Zeilenauswahl:</t>
  </si>
  <si>
    <t>Änderungsfaktor</t>
  </si>
  <si>
    <t>Kaufwert EUR/m²</t>
  </si>
  <si>
    <t>Statistisches Bundesamt     Fachserie 17 Reihe 5       6 Kaufwerte für Bauland nach Baulandarten im Zeitvergleich</t>
  </si>
  <si>
    <t>Wohnungseigentum [WE]</t>
  </si>
  <si>
    <t>[EFH] freistehend, KG, EG, DG voll ausgebaut</t>
  </si>
  <si>
    <t>[EFH] freistehend, KG, EG, DG nicht ausgebaut</t>
  </si>
  <si>
    <t>[EFH] freistehend, KG, EG, Flachdach oder flach geneigtes Dach</t>
  </si>
  <si>
    <t>[EFH] freistehend, KG, EG, OG, DG voll ausgebaut</t>
  </si>
  <si>
    <t>[EFH] freistehend, KG, EG, OG, DG nicht ausgebaut</t>
  </si>
  <si>
    <t>[EFH] freistehend, KG, EG, OG, Flachdach oder flach geneigtes Dach</t>
  </si>
  <si>
    <t>[EFH] freistehend, EG, nicht unterkellert, DG voll ausgebaut</t>
  </si>
  <si>
    <t>[EFH] freistehend, EG, nicht unterkellert, DG nicht ausgebaut</t>
  </si>
  <si>
    <t>[EFH] freistehend, EG, nicht unterkellert, Flachdach oder flach geneigtes Dach</t>
  </si>
  <si>
    <t>[EFH] freistehend, EG, OG, nicht unterkellert, DG voll ausgebaut</t>
  </si>
  <si>
    <t>[EFH] freistehend, EG, OG, nicht unterkellert, DG nicht ausgebaut</t>
  </si>
  <si>
    <t>[EFH] freistehend, EG, OG, nicht unterkellert, Flachdach oder flach geneigtes Dach</t>
  </si>
  <si>
    <t>[EFH/ZFH] Doppel- und Reihenendh., KG, EG, DG voll ausgebaut</t>
  </si>
  <si>
    <t>[EFH/ZFH]Doppel- und Reihenendh., KG, EG, DG nicht ausgebaut</t>
  </si>
  <si>
    <t>[EFH/ZFH] Doppel- und Reihenendh., KG, EG, Flachdach oder flach geneigtes Dach</t>
  </si>
  <si>
    <t>[EFH/ZFH] Doppel- und Reihenendh., KG, EG, OG, DG voll ausgebaut</t>
  </si>
  <si>
    <t>[EFH/ZFH] Doppel- und Reihenendh., KG, EG, OG, DG nicht ausgebaut</t>
  </si>
  <si>
    <t>[EFH/ZFH] Doppel- und Reihenendh., KG, EG, OG, Flachdach oder flach geneigtes Dach</t>
  </si>
  <si>
    <t>[EFH/ZFH] Doppel- und Reihenendh., EG, nicht unterkellert, DG voll ausgebaut</t>
  </si>
  <si>
    <t>[EFH/ZFH] Doppel- und Reihenendh., EG, nicht unterkellert, DG nicht ausgebaut</t>
  </si>
  <si>
    <t>[EFH/ZFH] Doppel- und Reihenendh., EG, nicht unterkellert, Flachdach oder flach geneigtes Dach</t>
  </si>
  <si>
    <t>[EFH/ZFH] Doppel- und Reihenendh., EG, OG, nicht unterkellert, DG nicht ausgebaut</t>
  </si>
  <si>
    <t>[EFH/ZFH] Doppel- und Reihenendh., EG, OG, nicht unterkellert, Flachdach oder flach geneigtes Dach</t>
  </si>
  <si>
    <t>[EFH/ZFH] Doppel- und Reihenendh., EG, OG, nicht unterkellert, DG voll ausgebaut</t>
  </si>
  <si>
    <t>[EFH/ZFH] Reihenmittelh., KG, EG, DG voll ausgebaut</t>
  </si>
  <si>
    <t>[EFH/ZFH] Reihenmittelh., KG, EG, DG nicht ausgebaut</t>
  </si>
  <si>
    <t>[EFH/ZFH] Reihenmittelh.,  KG, EG, Flachdach oder flach geneigtes Dach</t>
  </si>
  <si>
    <t>[EFH/ZFH] Reihenmittelh., KG, EG, OG, DG voll ausgebaut</t>
  </si>
  <si>
    <t>[EFH/ZFH] Reihenmittelh.,  KG, EG, OG, DG nicht ausgebaut</t>
  </si>
  <si>
    <t>[EFH/ZFH] Reihenmittelh., KG, EG, OG, Flachdach oder flach geneigtes Dach</t>
  </si>
  <si>
    <t>[EFH/ZFH] Reihenmittelh., EG, nicht unterkellert, DG voll ausgebaut</t>
  </si>
  <si>
    <t>[EFH/ZFH] Reihenmittelh., EG, nicht unterkellert, DG nicht ausgebaut</t>
  </si>
  <si>
    <t>[EFH/ZFH] Reihenmittelh., EG, nicht unterkellert, Flachdach oder flach geneigtes Dach</t>
  </si>
  <si>
    <t>[EFH/ZFH] Reihenmittelh., EG, OG, nicht unterkellert, DG voll ausgebaut</t>
  </si>
  <si>
    <t>[EFH/ZFH] Reihenmittelh.,  EG, OG, nicht unterkellert, DG nicht ausgebaut</t>
  </si>
  <si>
    <t>[EFH/ZFH] Reihenmittelh., EG, OG, nicht unterkellert, Flachdach oder flach geneigtes Dach</t>
  </si>
  <si>
    <t>Z in %</t>
  </si>
  <si>
    <t>15) Liegt Ihnen ein Vergleichsfaktor des Gutachterausschusses  vor?</t>
  </si>
  <si>
    <t>16) Bezugsmaßstab des Vergleichsfaktors</t>
  </si>
  <si>
    <t>17) Vergleichsfaktor bzw. sofern bekannt, 
      objektspezifisch angepasster Vergleichsfaktor  (€/m²)</t>
  </si>
  <si>
    <t xml:space="preserve">18) Erläuterung   </t>
  </si>
  <si>
    <t>Hamburg  www.geoportal-hamburg.de</t>
  </si>
  <si>
    <t>11) Fläche 1; Grundstücksgröße in m²:</t>
  </si>
  <si>
    <t xml:space="preserve">13) Fläche 2; Grundstücksgröße in m²: </t>
  </si>
  <si>
    <t>Vergleichsfaktor, ggf. objektspezifisch angepasster Vergleichsfaktor  (€/m²) =</t>
  </si>
  <si>
    <t>22) monatlicher Gesamtrohertrag (sog. Nettokaltmiete) incl. Stellplätze:</t>
  </si>
  <si>
    <t>20) Vergleichsfaktor (€/Stück)  je Tiefgaragenstellplatz:</t>
  </si>
  <si>
    <t>19) Vergleichsfaktor (€/Stück) je Garagenstellplatz:</t>
  </si>
  <si>
    <t>Wertanteil der baulichen Anlagen/Gebäude:</t>
  </si>
  <si>
    <t>21) Ist die tatsächliche Miete bzw. ortsübliche Miete bekannt?</t>
  </si>
  <si>
    <t>[ZFH] freistehend, KG, EG, DG voll ausgebaut</t>
  </si>
  <si>
    <t>[ZFH] freistehend, KG, EG, DG nicht ausgebaut</t>
  </si>
  <si>
    <t>[ZFH] freistehend, KG, EG, Flachdach oder flach geneigtes Dach</t>
  </si>
  <si>
    <t>[ZFH] freistehend, KG, EG, OG, DG voll ausgebaut</t>
  </si>
  <si>
    <t>[ZFH] freistehend, KG, EG, OG, DG nicht ausgebaut</t>
  </si>
  <si>
    <t>[ZFH] freistehend, KG, EG, OG, Flachdach oder flach geneigtes Dach</t>
  </si>
  <si>
    <t>[ZFH] freistehend, EG, nicht unterkellert, DG voll ausgebaut</t>
  </si>
  <si>
    <t>[ZFH] freistehend, EG, nicht unterkellert, DG nicht ausgebaut</t>
  </si>
  <si>
    <t>[ZFH] freistehend, EG, nicht unterkellert, Flachdach oder flach geneigtes Dach</t>
  </si>
  <si>
    <t>[ZFH] freistehend, EG, OG, nicht unterkellert, DG voll ausgebaut</t>
  </si>
  <si>
    <t>[ZFH] freistehend, EG, OG, nicht unterkellert, DG nicht ausgebaut</t>
  </si>
  <si>
    <t>[ZFH] freistehend, EG, OG, nicht unterkellert, Flachdach oder flach geneigtes Dach</t>
  </si>
  <si>
    <r>
      <rPr>
        <vertAlign val="superscript"/>
        <sz val="7"/>
        <rFont val="Arial"/>
        <family val="2"/>
      </rPr>
      <t xml:space="preserve">2 </t>
    </r>
    <r>
      <rPr>
        <sz val="7"/>
        <rFont val="Arial"/>
        <family val="2"/>
      </rPr>
      <t xml:space="preserve"> bei mehr als 10 Jahre zurückliegenden Modernisierungen können diese als "teilweise Modernisierungen" gewertet werden. Mehr als 20 Jahre zurückliegenden Modernisierungen können grundsätzlich nicht berücksichtigt werden.</t>
    </r>
  </si>
  <si>
    <t>Verwaltungskosten </t>
  </si>
  <si>
    <t>Instandhaltungskosten</t>
  </si>
  <si>
    <t xml:space="preserve"> Verbraucherpreisindex für Deutschland für den Monat Oktober des Jahres, das dem Stichtag der Ermittlung des Liegenschaftszinssatzes vorausgeht</t>
  </si>
  <si>
    <t>jährlich je Wohnung bzw. je Wohngebäude bei Ein- und Zweifamilienhäusern</t>
  </si>
  <si>
    <t>jährlich je Eigentumswohnung</t>
  </si>
  <si>
    <t>jährlich je Garage oder ähnlichem Einstellplatz</t>
  </si>
  <si>
    <t>jährlich je Quadratmeter Wohnfläche, wenn die Schönheitsreparaturen von den Mietern getragen werden</t>
  </si>
  <si>
    <t>jährlich je Garage oder ähnlichem Einstellplatz einschließlich der Kosten für Schönheitsreparaturen</t>
  </si>
  <si>
    <t>Verwaltungskosten</t>
  </si>
  <si>
    <t>je Einheit pro Jahr</t>
  </si>
  <si>
    <t>Verwaltungskosten Garage</t>
  </si>
  <si>
    <t>Instandhalt.-kosten</t>
  </si>
  <si>
    <t>€/m² pro Jahr</t>
  </si>
  <si>
    <t>Instandhalt.-kosten Garage</t>
  </si>
  <si>
    <t>Mietausfallwagnis</t>
  </si>
  <si>
    <t>in % des Rohertrags</t>
  </si>
  <si>
    <t>Summe der Bewirtschaftungskosten (BWK)</t>
  </si>
  <si>
    <t>23) Anzahl der Wohneinheiten bzw. sonst. Einheiten, sofern bekannt</t>
  </si>
  <si>
    <t>Geschäftsgrundstücke, Geschäftshäuser für gewerbliche Nutzung wie z. B. SB-Verbrauchermärkte und vergleichbare Nutzungen</t>
  </si>
  <si>
    <t>Teileigentum: Geschäftsgrundstücke (Geschäfts.) für gewerbliche Nutzung wie z. B. SB-Verbrauchermärkte und vergleichbare Nutzungen</t>
  </si>
  <si>
    <t xml:space="preserve">Geschäftsgrundstücke, Geschäftshäuser für gewerbliche Nutzung wie z. B. Lager-, Logistik- und Produktionshallen und vergleichbare Nutzungen </t>
  </si>
  <si>
    <t xml:space="preserve">Teileigentum: Geschäftsgrundstücke (Geschäfts.) für gewerbliche Nutzung wie z. B. Lager-, Logistik- und Produktionshallen und vergleichbare Nutzungen </t>
  </si>
  <si>
    <t>INDEX (Immobilienmarktbericht Deutschland 2019 (Abb. 4-130: Entwicklung der Liegenschaftszinssätze (%) für kleine Mehrfamilienhäuser) [rot wurde geschätzt!]</t>
  </si>
  <si>
    <t>24)  Liegenschaftszinssatz des örtlichen Gutachterausschusses, sofern bekannt:</t>
  </si>
  <si>
    <t>25) Regionalfaktor:</t>
  </si>
  <si>
    <r>
      <rPr>
        <vertAlign val="superscript"/>
        <sz val="8"/>
        <rFont val="Arial"/>
        <family val="2"/>
      </rPr>
      <t xml:space="preserve">1 </t>
    </r>
    <r>
      <rPr>
        <sz val="8"/>
        <rFont val="Arial"/>
        <family val="2"/>
      </rPr>
      <t>analog ImmoWertV, Anlage 1</t>
    </r>
  </si>
  <si>
    <t>€/je Garage pro Jahr</t>
  </si>
  <si>
    <t xml:space="preserve">Berlin https://www.berlin.de/gutachterausschuss/marktinformationen/  </t>
  </si>
  <si>
    <r>
      <rPr>
        <b/>
        <sz val="8"/>
        <rFont val="Arial"/>
        <family val="2"/>
      </rPr>
      <t xml:space="preserve">
Erläuterung: 
</t>
    </r>
    <r>
      <rPr>
        <sz val="8"/>
        <rFont val="Arial"/>
        <family val="2"/>
      </rPr>
      <t xml:space="preserve">Als Baujahr ist regelmäßig das Jahr der Bezugsfertigkeit des Gebäudes (ursprüngliches Baujahr) zu erfassen. Die Bezugsfertigkeit ist gegeben, wenn das Gebäude bzw. der Gebäudeteil von den künftigen Bewohnern oder sonstigen Benutzern nach objektiven Verhältnissen genutzt werden kann. Die Abnahme durch die Bauaufsichtsbehörde ist nicht entscheidend. Die Angabe des Baujahrs ist für die Bestimmung der Restnutzungsdauer und des Alterswertminderungsfaktors von Bedeutung. 
Sofern Kenntnisse vorliegen, dass an dem Gebäude in den letzten zwanzig Jahren vor dem Anschaffungsjahr Modernisierungsmaßnahmen durchgeführt wurden, kann analog zu den Vorgaben der ImmoWertV eine modifizierte Restnutzungsdauer und somit ein fiktives Baujahr bestimmt werden. Die oben stehende Rechenhilfe kann zur Ableitung des fiktiven Baujahres angewandt werden, da diese in enger Anlehnung an die ImmoWertV entwickelt wurde.
</t>
    </r>
  </si>
  <si>
    <t>Restnutzungsdauer-Gruppe</t>
  </si>
  <si>
    <t>Bewirtschaftungskosten bei Kaufverträgen vor 2015 in %</t>
  </si>
  <si>
    <t>Bewirtschaftungskosten bei Kaufverträgen vor 2015 in €</t>
  </si>
  <si>
    <t>Bewirtschaftungskosten gemäß Mietwohngrundstück</t>
  </si>
  <si>
    <t>VPI 2020=100</t>
  </si>
  <si>
    <t>2000 - Oktober</t>
  </si>
  <si>
    <t>2001 - Oktober</t>
  </si>
  <si>
    <t>2002 - Oktober</t>
  </si>
  <si>
    <t>2003 - Oktober</t>
  </si>
  <si>
    <t>2004 - Oktober</t>
  </si>
  <si>
    <t>2005 - Oktober</t>
  </si>
  <si>
    <t>2006 - Oktober</t>
  </si>
  <si>
    <t>2007 - Oktober</t>
  </si>
  <si>
    <t>2008 - Oktober</t>
  </si>
  <si>
    <t>2009 - Oktober</t>
  </si>
  <si>
    <t>2010 - Oktober</t>
  </si>
  <si>
    <t>2011 - Oktober</t>
  </si>
  <si>
    <t>2012 - Oktober</t>
  </si>
  <si>
    <t>2013 - Oktober</t>
  </si>
  <si>
    <t>2014 - Oktober</t>
  </si>
  <si>
    <t>2015 - Oktober</t>
  </si>
  <si>
    <t>2016 - Oktober</t>
  </si>
  <si>
    <t>2017 - Oktober</t>
  </si>
  <si>
    <t>2018 - Oktober</t>
  </si>
  <si>
    <t>2019 - Oktober</t>
  </si>
  <si>
    <t>2020 - Oktober</t>
  </si>
  <si>
    <t>2021 - Oktober</t>
  </si>
  <si>
    <t>2022 - Oktober</t>
  </si>
  <si>
    <t>VPI 2015=100</t>
  </si>
  <si>
    <t>Faktordifferenz von Index 2015 zu 2022</t>
  </si>
  <si>
    <t>Bewirtschaftungskosten bei Kauffällen vor dem 1.1.2015 (Kaufdatum) - Systemänderung</t>
  </si>
  <si>
    <t>26) Sachwertfaktor des örtlichen Gutachterausschusses, sofern bekannt:</t>
  </si>
  <si>
    <r>
      <t xml:space="preserve">KKW (THK) €/qm (einschl. </t>
    </r>
    <r>
      <rPr>
        <b/>
        <sz val="10"/>
        <rFont val="Arial"/>
        <family val="2"/>
      </rPr>
      <t>Regionalfaktor,</t>
    </r>
    <r>
      <rPr>
        <sz val="10"/>
        <rFont val="Arial"/>
        <family val="2"/>
      </rPr>
      <t xml:space="preserve"> Alterswertminderung, Bauindex und Wohnungsgrößenfaktoren (nur ETW)):</t>
    </r>
  </si>
  <si>
    <t>* gerundete Werte einschl. Alterswertminderungsfaktor, Baupreisindex und Regionalfaktor</t>
  </si>
  <si>
    <t>Sachwertfaktor:</t>
  </si>
  <si>
    <t>vorläufiger Sachwert (Bodenwert zzgl. Gebäudewert):</t>
  </si>
  <si>
    <t>Regionalfaktor</t>
  </si>
  <si>
    <t>(marktangepasster) vorläufiger Sachwert:</t>
  </si>
  <si>
    <t>2023 - Oktober (2020=100; Okt. 2001=77,1)</t>
  </si>
  <si>
    <t>2024 - Oktober (2020=100; Okt. 2001=77,1)</t>
  </si>
  <si>
    <t>Fassung Januar 2025</t>
  </si>
  <si>
    <t>30.09.2026</t>
  </si>
  <si>
    <t>Liegt ein sach- und fachgerechtes Gutachten zum Nachweis einer kürzeren tatsächlichen Nutzungsdauer gemäß § 7 Abs. 4 Satz 2 EStG vor?</t>
  </si>
  <si>
    <t>2021=100</t>
  </si>
  <si>
    <t>Nebenrechnung zur Aufteilung eines Grundstückskaufpreises
Ableitung des fiktiven Baujahrs unter Berücksichtigung einer nachgewiesenen Nutzungsdauer oder von Modernisierungen</t>
  </si>
  <si>
    <t xml:space="preserve">Sofern Kenntnisse vorliegen, dass an dem Gebäude in den letzten zwanzig Jahren vor dem Anschaffungsjahr nachfolgend aufgeführte Modernisierungsmaßnahmen durchgeführt wurden, kann fiktiv ein späteres Baujahr angenommen werden.
</t>
  </si>
  <si>
    <t>Brandenburg  www.boris.brandenburg.de/</t>
  </si>
  <si>
    <t>Restnutzungsdauer (RND) gemäß des Gutachtens in vollen Jahren
(bezogen auf das Anschaffungsjahr):</t>
  </si>
  <si>
    <t>Wohn- bzw. Nutzfläche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</si>
</sst>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0\ &quot;€&quot;;[Red]\-#,##0\ &quot;€&quot;"/>
    <numFmt numFmtId="8" formatCode="#,##0.00\ &quot;€&quot;;[Red]\-#,##0.00\ &quot;€&quot;"/>
    <numFmt numFmtId="43" formatCode="_-* #,##0.00\ _€_-;\-* #,##0.00\ _€_-;_-* &quot;-&quot;??\ _€_-;_-@_-"/>
    <numFmt numFmtId="44" formatCode="_-* #,##0.00\ &quot;€&quot;_-;\-* #,##0.00\ &quot;€&quot;_-;_-* &quot;-&quot;??\ &quot;€&quot;_-;_-@_-"/>
    <numFmt numFmtId="164" formatCode="_-* #,##0\ &quot;€&quot;_-;\-* #,##0\ &quot;€&quot;_-;_-* &quot;-&quot;??\ &quot;€&quot;_-;_-@_-"/>
    <numFmt numFmtId="165" formatCode="_-* #,##0\ _€_-;\-* #,##0\ _€_-;_-* &quot;-&quot;??\ _€_-;_-@_-"/>
    <numFmt numFmtId="166" formatCode="_-* #,##0.0\ _€_-;\-* #,##0.0\ _€_-;_-* &quot;-&quot;??\ _€_-;_-@_-"/>
    <numFmt numFmtId="167" formatCode="0.000"/>
    <numFmt numFmtId="168" formatCode="0.0000000"/>
    <numFmt numFmtId="169" formatCode="0.0%"/>
    <numFmt numFmtId="170" formatCode="#,##0&quot; €&quot;"/>
    <numFmt numFmtId="171" formatCode="mm"/>
    <numFmt numFmtId="172" formatCode="yyyy"/>
    <numFmt numFmtId="173" formatCode="0.0000"/>
    <numFmt numFmtId="174" formatCode="0.0"/>
    <numFmt numFmtId="175" formatCode="_-* #,##0.00\ [$€-407]_-;\-* #,##0.00\ [$€-407]_-;_-* &quot;-&quot;??\ [$€-407]_-;_-@_-"/>
    <numFmt numFmtId="176" formatCode="_-* #,##0.0000\ _€_-;\-* #,##0.0000\ _€_-;_-* &quot;-&quot;??\ _€_-;_-@_-"/>
    <numFmt numFmtId="177" formatCode="0.00000"/>
    <numFmt numFmtId="178" formatCode="#,##0.0"/>
    <numFmt numFmtId="179" formatCode="_-* #,##0.0\ &quot;€&quot;_-;\-* #,##0.0\ &quot;€&quot;_-;_-* &quot;-&quot;??\ &quot;€&quot;_-;_-@_-"/>
    <numFmt numFmtId="180" formatCode="0.0000000000000"/>
    <numFmt numFmtId="181" formatCode="0.00000000000000"/>
  </numFmts>
  <fonts count="101" x14ac:knownFonts="1">
    <font>
      <sz val="10"/>
      <color theme="1"/>
      <name val="Arial"/>
      <family val="2"/>
    </font>
    <font>
      <sz val="10"/>
      <name val="Arial"/>
      <family val="2"/>
    </font>
    <font>
      <b/>
      <sz val="7"/>
      <name val="Arial"/>
      <family val="2"/>
    </font>
    <font>
      <b/>
      <sz val="10"/>
      <name val="Arial"/>
      <family val="2"/>
    </font>
    <font>
      <b/>
      <sz val="8"/>
      <name val="Arial"/>
      <family val="2"/>
    </font>
    <font>
      <sz val="8"/>
      <name val="Arial"/>
      <family val="2"/>
    </font>
    <font>
      <b/>
      <u/>
      <sz val="12"/>
      <name val="Arial"/>
      <family val="2"/>
    </font>
    <font>
      <b/>
      <sz val="10"/>
      <color indexed="8"/>
      <name val="Arial"/>
      <family val="2"/>
    </font>
    <font>
      <sz val="8"/>
      <color indexed="81"/>
      <name val="Tahoma"/>
      <family val="2"/>
    </font>
    <font>
      <b/>
      <sz val="8"/>
      <color indexed="81"/>
      <name val="Tahoma"/>
      <family val="2"/>
    </font>
    <font>
      <b/>
      <sz val="18"/>
      <name val="Arial"/>
      <family val="2"/>
    </font>
    <font>
      <sz val="9"/>
      <name val="Arial"/>
      <family val="2"/>
    </font>
    <font>
      <b/>
      <sz val="9"/>
      <name val="Arial"/>
      <family val="2"/>
    </font>
    <font>
      <b/>
      <sz val="14"/>
      <color indexed="8"/>
      <name val="Arial"/>
      <family val="2"/>
    </font>
    <font>
      <vertAlign val="superscript"/>
      <sz val="8"/>
      <name val="Arial"/>
      <family val="2"/>
    </font>
    <font>
      <b/>
      <vertAlign val="superscript"/>
      <sz val="8"/>
      <color indexed="8"/>
      <name val="Times New Roman"/>
      <family val="1"/>
    </font>
    <font>
      <sz val="9"/>
      <color indexed="81"/>
      <name val="Tahoma"/>
      <family val="2"/>
    </font>
    <font>
      <b/>
      <sz val="9"/>
      <color indexed="81"/>
      <name val="Tahoma"/>
      <family val="2"/>
    </font>
    <font>
      <sz val="1"/>
      <name val="Arial"/>
      <family val="2"/>
    </font>
    <font>
      <sz val="11"/>
      <name val="Arial"/>
      <family val="2"/>
    </font>
    <font>
      <b/>
      <sz val="11"/>
      <name val="Arial"/>
      <family val="2"/>
    </font>
    <font>
      <sz val="7"/>
      <name val="Arial"/>
      <family val="2"/>
    </font>
    <font>
      <b/>
      <u/>
      <sz val="9"/>
      <name val="Arial"/>
      <family val="2"/>
    </font>
    <font>
      <sz val="10"/>
      <color indexed="8"/>
      <name val="Arial"/>
      <family val="2"/>
    </font>
    <font>
      <i/>
      <sz val="8"/>
      <color indexed="8"/>
      <name val="Arial"/>
      <family val="2"/>
    </font>
    <font>
      <b/>
      <sz val="12"/>
      <color indexed="8"/>
      <name val="Arial"/>
      <family val="2"/>
    </font>
    <font>
      <sz val="10"/>
      <color theme="1"/>
      <name val="Arial"/>
      <family val="2"/>
    </font>
    <font>
      <sz val="11"/>
      <color theme="1"/>
      <name val="Calibri"/>
      <family val="2"/>
      <scheme val="minor"/>
    </font>
    <font>
      <u/>
      <sz val="10"/>
      <color theme="10"/>
      <name val="Arial"/>
      <family val="2"/>
    </font>
    <font>
      <b/>
      <sz val="10"/>
      <color rgb="FFFF0000"/>
      <name val="Arial"/>
      <family val="2"/>
    </font>
    <font>
      <b/>
      <sz val="10"/>
      <color theme="1"/>
      <name val="Arial"/>
      <family val="2"/>
    </font>
    <font>
      <b/>
      <sz val="7"/>
      <color rgb="FFFF0000"/>
      <name val="Arial"/>
      <family val="2"/>
    </font>
    <font>
      <b/>
      <sz val="9"/>
      <color rgb="FFFF0000"/>
      <name val="Arial"/>
      <family val="2"/>
    </font>
    <font>
      <sz val="8"/>
      <color rgb="FFFF0000"/>
      <name val="Arial"/>
      <family val="2"/>
    </font>
    <font>
      <sz val="22"/>
      <color theme="1"/>
      <name val="Arial"/>
      <family val="2"/>
    </font>
    <font>
      <sz val="18"/>
      <color theme="1"/>
      <name val="Arial"/>
      <family val="2"/>
    </font>
    <font>
      <sz val="8"/>
      <color theme="1"/>
      <name val="Arial"/>
      <family val="2"/>
    </font>
    <font>
      <sz val="8"/>
      <name val="Calibri"/>
      <family val="2"/>
      <scheme val="minor"/>
    </font>
    <font>
      <sz val="1"/>
      <color theme="0"/>
      <name val="Arial"/>
      <family val="2"/>
    </font>
    <font>
      <b/>
      <sz val="8"/>
      <color rgb="FFFF0000"/>
      <name val="Arial"/>
      <family val="2"/>
    </font>
    <font>
      <sz val="1"/>
      <color theme="4" tint="0.59999389629810485"/>
      <name val="Arial"/>
      <family val="2"/>
    </font>
    <font>
      <sz val="11"/>
      <name val="Calibri"/>
      <family val="2"/>
      <scheme val="minor"/>
    </font>
    <font>
      <sz val="14"/>
      <color theme="1"/>
      <name val="Arial"/>
      <family val="2"/>
    </font>
    <font>
      <b/>
      <sz val="14"/>
      <color theme="1"/>
      <name val="Arial"/>
      <family val="2"/>
    </font>
    <font>
      <sz val="10"/>
      <color rgb="FFFFFFCC"/>
      <name val="Arial"/>
      <family val="2"/>
    </font>
    <font>
      <b/>
      <sz val="6"/>
      <color rgb="FFFF0000"/>
      <name val="Arial"/>
      <family val="2"/>
    </font>
    <font>
      <sz val="10"/>
      <color theme="0" tint="-0.499984740745262"/>
      <name val="Arial"/>
      <family val="2"/>
    </font>
    <font>
      <sz val="14"/>
      <color rgb="FFFFFFCC"/>
      <name val="Arial"/>
      <family val="2"/>
    </font>
    <font>
      <sz val="22"/>
      <color rgb="FFFFFFCC"/>
      <name val="Arial"/>
      <family val="2"/>
    </font>
    <font>
      <b/>
      <u/>
      <sz val="7"/>
      <name val="Arial"/>
      <family val="2"/>
    </font>
    <font>
      <b/>
      <sz val="22"/>
      <color rgb="FF000000"/>
      <name val="Calibri"/>
      <family val="2"/>
      <scheme val="minor"/>
    </font>
    <font>
      <b/>
      <sz val="16"/>
      <color rgb="FF000000"/>
      <name val="Calibri"/>
      <family val="2"/>
      <scheme val="minor"/>
    </font>
    <font>
      <b/>
      <sz val="16"/>
      <color theme="1"/>
      <name val="Calibri"/>
      <family val="2"/>
      <scheme val="minor"/>
    </font>
    <font>
      <sz val="12"/>
      <color rgb="FF000000"/>
      <name val="Garamond"/>
      <family val="1"/>
    </font>
    <font>
      <sz val="12"/>
      <color rgb="FF000000"/>
      <name val="Calibri"/>
      <family val="2"/>
      <scheme val="minor"/>
    </font>
    <font>
      <b/>
      <sz val="9"/>
      <color theme="0" tint="-0.249977111117893"/>
      <name val="Arial"/>
      <family val="2"/>
    </font>
    <font>
      <b/>
      <sz val="10"/>
      <color theme="0"/>
      <name val="Arial"/>
      <family val="2"/>
    </font>
    <font>
      <b/>
      <sz val="10"/>
      <color rgb="FF222222"/>
      <name val="Arial"/>
      <family val="2"/>
    </font>
    <font>
      <b/>
      <sz val="7"/>
      <color theme="0"/>
      <name val="Arial"/>
      <family val="2"/>
    </font>
    <font>
      <b/>
      <sz val="9"/>
      <color theme="0"/>
      <name val="Arial"/>
      <family val="2"/>
    </font>
    <font>
      <b/>
      <sz val="18"/>
      <color theme="0"/>
      <name val="Arial"/>
      <family val="2"/>
    </font>
    <font>
      <b/>
      <sz val="7"/>
      <color theme="3"/>
      <name val="Arial"/>
      <family val="2"/>
    </font>
    <font>
      <b/>
      <sz val="1"/>
      <color theme="0"/>
      <name val="Calibri"/>
      <family val="2"/>
      <scheme val="minor"/>
    </font>
    <font>
      <b/>
      <sz val="1"/>
      <color theme="0" tint="-0.34998626667073579"/>
      <name val="Calibri"/>
      <family val="2"/>
      <scheme val="minor"/>
    </font>
    <font>
      <b/>
      <sz val="1"/>
      <name val="Calibri"/>
      <family val="2"/>
      <scheme val="minor"/>
    </font>
    <font>
      <b/>
      <sz val="5"/>
      <color rgb="FFFF0000"/>
      <name val="Arial"/>
      <family val="2"/>
    </font>
    <font>
      <b/>
      <sz val="9"/>
      <color theme="3"/>
      <name val="Arial"/>
      <family val="2"/>
    </font>
    <font>
      <b/>
      <sz val="8"/>
      <color theme="0"/>
      <name val="Arial"/>
      <family val="2"/>
    </font>
    <font>
      <sz val="9"/>
      <color indexed="81"/>
      <name val="Segoe UI"/>
      <family val="2"/>
    </font>
    <font>
      <b/>
      <sz val="9"/>
      <color indexed="81"/>
      <name val="Segoe UI"/>
      <family val="2"/>
    </font>
    <font>
      <b/>
      <u/>
      <sz val="8"/>
      <name val="Arial"/>
      <family val="2"/>
    </font>
    <font>
      <b/>
      <sz val="7"/>
      <color rgb="FFCCFFCC"/>
      <name val="Arial"/>
      <family val="2"/>
    </font>
    <font>
      <b/>
      <sz val="11"/>
      <color theme="1"/>
      <name val="Arial"/>
      <family val="2"/>
    </font>
    <font>
      <sz val="10"/>
      <color rgb="FFC00000"/>
      <name val="Arial"/>
      <family val="2"/>
    </font>
    <font>
      <b/>
      <sz val="6"/>
      <color theme="3"/>
      <name val="Arial"/>
      <family val="2"/>
    </font>
    <font>
      <b/>
      <sz val="1"/>
      <color rgb="FFCCFFCC"/>
      <name val="Arial"/>
      <family val="2"/>
    </font>
    <font>
      <b/>
      <sz val="1"/>
      <color theme="0"/>
      <name val="Arial"/>
      <family val="2"/>
    </font>
    <font>
      <b/>
      <sz val="10"/>
      <color rgb="FFCCFFCC"/>
      <name val="Arial"/>
      <family val="2"/>
    </font>
    <font>
      <b/>
      <sz val="4"/>
      <color rgb="FFCCFFCC"/>
      <name val="Arial"/>
      <family val="2"/>
    </font>
    <font>
      <vertAlign val="superscript"/>
      <sz val="7"/>
      <name val="Arial"/>
      <family val="2"/>
    </font>
    <font>
      <b/>
      <sz val="10"/>
      <color rgb="FF000000"/>
      <name val="Arial"/>
      <family val="2"/>
    </font>
    <font>
      <sz val="9"/>
      <color rgb="FF000000"/>
      <name val="Arial"/>
      <family val="2"/>
    </font>
    <font>
      <b/>
      <sz val="8"/>
      <color rgb="FFCCFFCC"/>
      <name val="Arial"/>
      <family val="2"/>
    </font>
    <font>
      <sz val="10"/>
      <color rgb="FFFF0000"/>
      <name val="Arial"/>
      <family val="2"/>
    </font>
    <font>
      <b/>
      <sz val="11"/>
      <color rgb="FFFF0000"/>
      <name val="Arial"/>
      <family val="2"/>
    </font>
    <font>
      <i/>
      <sz val="10"/>
      <color rgb="FFFF0000"/>
      <name val="Arial"/>
      <family val="2"/>
    </font>
    <font>
      <sz val="10"/>
      <color theme="6" tint="-0.249977111117893"/>
      <name val="Arial"/>
      <family val="2"/>
    </font>
    <font>
      <b/>
      <sz val="10"/>
      <color theme="6" tint="-0.249977111117893"/>
      <name val="Arial"/>
      <family val="2"/>
    </font>
    <font>
      <sz val="10"/>
      <color theme="8" tint="-0.499984740745262"/>
      <name val="Arial"/>
      <family val="2"/>
    </font>
    <font>
      <b/>
      <sz val="10"/>
      <color theme="8" tint="-0.499984740745262"/>
      <name val="Arial"/>
      <family val="2"/>
    </font>
    <font>
      <b/>
      <sz val="9"/>
      <color rgb="FFFFFFCC"/>
      <name val="Arial"/>
      <family val="2"/>
    </font>
    <font>
      <b/>
      <sz val="7"/>
      <color theme="4" tint="-0.249977111117893"/>
      <name val="Arial"/>
      <family val="2"/>
    </font>
    <font>
      <b/>
      <i/>
      <sz val="10"/>
      <color rgb="FFFF0000"/>
      <name val="Arial"/>
      <family val="2"/>
    </font>
    <font>
      <b/>
      <sz val="1"/>
      <color rgb="FF969696"/>
      <name val="Calibri"/>
      <family val="2"/>
      <scheme val="minor"/>
    </font>
    <font>
      <sz val="10"/>
      <color theme="0" tint="-0.34998626667073579"/>
      <name val="Arial"/>
      <family val="2"/>
    </font>
    <font>
      <b/>
      <sz val="8"/>
      <color rgb="FFC00000"/>
      <name val="Arial"/>
      <family val="2"/>
    </font>
    <font>
      <b/>
      <sz val="10"/>
      <color theme="0" tint="-0.34998626667073579"/>
      <name val="Arial"/>
      <family val="2"/>
    </font>
    <font>
      <sz val="9"/>
      <color theme="0" tint="-0.34998626667073579"/>
      <name val="Arial"/>
      <family val="2"/>
    </font>
    <font>
      <b/>
      <sz val="8"/>
      <color theme="3"/>
      <name val="Arial"/>
      <family val="2"/>
    </font>
    <font>
      <b/>
      <sz val="7"/>
      <color theme="3" tint="-0.249977111117893"/>
      <name val="Arial"/>
      <family val="2"/>
    </font>
    <font>
      <b/>
      <sz val="8"/>
      <color theme="3" tint="-0.249977111117893"/>
      <name val="Arial"/>
      <family val="2"/>
    </font>
  </fonts>
  <fills count="41">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3"/>
        <bgColor indexed="26"/>
      </patternFill>
    </fill>
    <fill>
      <patternFill patternType="solid">
        <fgColor rgb="FFFFFF9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CC"/>
        <bgColor indexed="64"/>
      </patternFill>
    </fill>
    <fill>
      <patternFill patternType="solid">
        <fgColor rgb="FFFF00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499984740745262"/>
        <bgColor indexed="26"/>
      </patternFill>
    </fill>
    <fill>
      <patternFill patternType="solid">
        <fgColor theme="0" tint="-4.9989318521683403E-2"/>
        <bgColor indexed="64"/>
      </patternFill>
    </fill>
    <fill>
      <patternFill patternType="solid">
        <fgColor theme="0"/>
        <bgColor indexed="26"/>
      </patternFill>
    </fill>
    <fill>
      <patternFill patternType="solid">
        <fgColor theme="6" tint="-0.249977111117893"/>
        <bgColor indexed="64"/>
      </patternFill>
    </fill>
    <fill>
      <patternFill patternType="solid">
        <fgColor rgb="FFFFCC66"/>
        <bgColor indexed="64"/>
      </patternFill>
    </fill>
    <fill>
      <patternFill patternType="solid">
        <fgColor rgb="FFCCFFCC"/>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rgb="FFFFCC99"/>
        <bgColor indexed="64"/>
      </patternFill>
    </fill>
  </fills>
  <borders count="8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thick">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rgb="FFFFFFCC"/>
      </bottom>
      <diagonal/>
    </border>
    <border>
      <left style="medium">
        <color rgb="FFFFFFCC"/>
      </left>
      <right style="medium">
        <color rgb="FFFFFFCC"/>
      </right>
      <top/>
      <bottom/>
      <diagonal/>
    </border>
    <border>
      <left style="medium">
        <color rgb="FFFFFFCC"/>
      </left>
      <right style="medium">
        <color rgb="FFFFFFCC"/>
      </right>
      <top/>
      <bottom style="medium">
        <color rgb="FFFFFFCC"/>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43" fontId="26" fillId="0" borderId="0" applyFont="0" applyFill="0" applyBorder="0" applyAlignment="0" applyProtection="0"/>
    <xf numFmtId="0" fontId="28" fillId="0" borderId="0" applyNumberFormat="0" applyFill="0" applyBorder="0" applyAlignment="0" applyProtection="0"/>
    <xf numFmtId="9" fontId="26" fillId="0" borderId="0" applyFont="0" applyFill="0" applyBorder="0" applyAlignment="0" applyProtection="0"/>
    <xf numFmtId="9" fontId="23" fillId="0" borderId="0" applyFill="0" applyBorder="0" applyAlignment="0" applyProtection="0"/>
    <xf numFmtId="0" fontId="1" fillId="0" borderId="0"/>
    <xf numFmtId="0" fontId="27" fillId="0" borderId="0"/>
    <xf numFmtId="0" fontId="23" fillId="0" borderId="0"/>
    <xf numFmtId="44" fontId="26" fillId="0" borderId="0" applyFont="0" applyFill="0" applyBorder="0" applyAlignment="0" applyProtection="0"/>
    <xf numFmtId="0" fontId="1" fillId="0" borderId="0"/>
  </cellStyleXfs>
  <cellXfs count="1148">
    <xf numFmtId="0" fontId="0" fillId="0" borderId="0" xfId="0"/>
    <xf numFmtId="0" fontId="1" fillId="6" borderId="8" xfId="0" applyFont="1" applyFill="1" applyBorder="1" applyAlignment="1">
      <alignment vertical="center" wrapText="1"/>
    </xf>
    <xf numFmtId="49" fontId="1" fillId="6" borderId="9" xfId="5" applyNumberFormat="1" applyFill="1" applyBorder="1" applyAlignment="1">
      <alignment horizontal="left" vertical="center" wrapText="1"/>
    </xf>
    <xf numFmtId="1" fontId="1" fillId="7" borderId="9" xfId="5" applyNumberFormat="1" applyFill="1" applyBorder="1" applyAlignment="1">
      <alignment horizontal="center" vertical="center" wrapText="1"/>
    </xf>
    <xf numFmtId="49" fontId="1" fillId="8" borderId="0" xfId="5" applyNumberFormat="1" applyFill="1" applyAlignment="1">
      <alignment horizontal="left" vertical="center" wrapText="1"/>
    </xf>
    <xf numFmtId="1" fontId="1" fillId="8" borderId="0" xfId="5" applyNumberFormat="1" applyFill="1" applyAlignment="1">
      <alignment horizontal="center" vertical="center" wrapText="1"/>
    </xf>
    <xf numFmtId="0" fontId="29" fillId="9" borderId="10" xfId="0" applyFont="1" applyFill="1" applyBorder="1" applyAlignment="1">
      <alignment horizontal="left"/>
    </xf>
    <xf numFmtId="49" fontId="1" fillId="10" borderId="10" xfId="0" applyNumberFormat="1" applyFont="1" applyFill="1" applyBorder="1" applyAlignment="1">
      <alignment horizontal="right" vertical="center"/>
    </xf>
    <xf numFmtId="49" fontId="1" fillId="10" borderId="11" xfId="0" applyNumberFormat="1" applyFont="1" applyFill="1" applyBorder="1" applyAlignment="1">
      <alignment horizontal="right" vertical="center"/>
    </xf>
    <xf numFmtId="1" fontId="30" fillId="0" borderId="0" xfId="0" applyNumberFormat="1" applyFont="1" applyAlignment="1">
      <alignment horizontal="left"/>
    </xf>
    <xf numFmtId="1" fontId="1" fillId="7" borderId="8" xfId="5" applyNumberFormat="1" applyFill="1" applyBorder="1" applyAlignment="1">
      <alignment horizontal="center" vertical="center" wrapText="1"/>
    </xf>
    <xf numFmtId="49" fontId="1" fillId="0" borderId="12" xfId="5" applyNumberFormat="1" applyBorder="1" applyAlignment="1">
      <alignment horizontal="right" vertical="center" wrapText="1"/>
    </xf>
    <xf numFmtId="49" fontId="1" fillId="2" borderId="13" xfId="5" applyNumberFormat="1" applyFill="1" applyBorder="1" applyAlignment="1">
      <alignment horizontal="left" vertical="center" wrapText="1"/>
    </xf>
    <xf numFmtId="49" fontId="1" fillId="0" borderId="13" xfId="5" applyNumberFormat="1" applyBorder="1" applyAlignment="1">
      <alignment horizontal="center" vertical="center" wrapText="1"/>
    </xf>
    <xf numFmtId="49" fontId="1" fillId="3" borderId="13" xfId="5" applyNumberFormat="1" applyFill="1" applyBorder="1" applyAlignment="1">
      <alignment horizontal="center" vertical="center" wrapText="1"/>
    </xf>
    <xf numFmtId="49" fontId="1" fillId="8" borderId="14" xfId="5" applyNumberFormat="1" applyFill="1" applyBorder="1" applyAlignment="1">
      <alignment horizontal="right" vertical="center" wrapText="1"/>
    </xf>
    <xf numFmtId="49" fontId="1" fillId="6" borderId="15" xfId="5" applyNumberFormat="1" applyFill="1" applyBorder="1" applyAlignment="1">
      <alignment horizontal="right" vertical="center" wrapText="1"/>
    </xf>
    <xf numFmtId="49" fontId="1" fillId="6" borderId="16" xfId="0" applyNumberFormat="1" applyFont="1" applyFill="1" applyBorder="1" applyAlignment="1">
      <alignment horizontal="right" vertical="center"/>
    </xf>
    <xf numFmtId="49" fontId="1" fillId="6" borderId="17" xfId="5" applyNumberFormat="1" applyFill="1" applyBorder="1" applyAlignment="1">
      <alignment horizontal="right" vertical="center" wrapText="1"/>
    </xf>
    <xf numFmtId="49" fontId="1" fillId="6" borderId="18" xfId="5" applyNumberFormat="1" applyFill="1" applyBorder="1" applyAlignment="1">
      <alignment horizontal="left" vertical="center" wrapText="1"/>
    </xf>
    <xf numFmtId="1" fontId="1" fillId="7" borderId="18" xfId="5" applyNumberFormat="1" applyFill="1" applyBorder="1" applyAlignment="1">
      <alignment horizontal="center" vertical="center" wrapText="1"/>
    </xf>
    <xf numFmtId="49" fontId="1" fillId="8" borderId="0" xfId="5" applyNumberFormat="1" applyFill="1" applyAlignment="1">
      <alignment horizontal="left" vertical="center"/>
    </xf>
    <xf numFmtId="49" fontId="1" fillId="6" borderId="9" xfId="5" applyNumberFormat="1" applyFill="1" applyBorder="1" applyAlignment="1">
      <alignment horizontal="left" vertical="center"/>
    </xf>
    <xf numFmtId="49" fontId="1" fillId="6" borderId="18" xfId="5" applyNumberFormat="1" applyFill="1" applyBorder="1" applyAlignment="1">
      <alignment horizontal="left" vertical="center"/>
    </xf>
    <xf numFmtId="0" fontId="1" fillId="8" borderId="14" xfId="0" applyFont="1" applyFill="1" applyBorder="1" applyAlignment="1">
      <alignment horizontal="center" vertical="center"/>
    </xf>
    <xf numFmtId="0" fontId="1" fillId="8" borderId="21" xfId="0" applyFont="1" applyFill="1" applyBorder="1" applyAlignment="1">
      <alignment horizontal="center" vertical="center"/>
    </xf>
    <xf numFmtId="1" fontId="3" fillId="13" borderId="8" xfId="5" applyNumberFormat="1" applyFont="1" applyFill="1" applyBorder="1" applyAlignment="1">
      <alignment horizontal="center" vertical="center" wrapText="1"/>
    </xf>
    <xf numFmtId="1" fontId="3" fillId="13" borderId="25" xfId="5"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1" fillId="6" borderId="27" xfId="5" applyNumberFormat="1" applyFill="1" applyBorder="1" applyAlignment="1">
      <alignment horizontal="center" vertical="center" wrapText="1"/>
    </xf>
    <xf numFmtId="1" fontId="1" fillId="8" borderId="28" xfId="5" applyNumberFormat="1" applyFill="1" applyBorder="1" applyAlignment="1">
      <alignment horizontal="center" vertical="center" wrapText="1"/>
    </xf>
    <xf numFmtId="49" fontId="1" fillId="3" borderId="29" xfId="5" applyNumberFormat="1" applyFill="1" applyBorder="1" applyAlignment="1">
      <alignment horizontal="center" vertical="center" wrapText="1"/>
    </xf>
    <xf numFmtId="1" fontId="1" fillId="7" borderId="5" xfId="5" applyNumberFormat="1" applyFill="1" applyBorder="1" applyAlignment="1">
      <alignment horizontal="center" vertical="center" wrapText="1"/>
    </xf>
    <xf numFmtId="1" fontId="1" fillId="7" borderId="30" xfId="5" applyNumberFormat="1" applyFill="1" applyBorder="1" applyAlignment="1">
      <alignment horizontal="center" vertical="center" wrapText="1"/>
    </xf>
    <xf numFmtId="49" fontId="3" fillId="14" borderId="26" xfId="0" applyNumberFormat="1" applyFont="1" applyFill="1" applyBorder="1" applyAlignment="1">
      <alignment horizontal="center" vertical="center" wrapText="1"/>
    </xf>
    <xf numFmtId="49" fontId="1" fillId="14" borderId="27" xfId="5" applyNumberFormat="1" applyFill="1" applyBorder="1" applyAlignment="1">
      <alignment horizontal="center" vertical="center" wrapText="1"/>
    </xf>
    <xf numFmtId="0" fontId="1" fillId="14" borderId="31" xfId="0" applyFont="1" applyFill="1" applyBorder="1" applyAlignment="1">
      <alignment horizontal="center" vertical="center"/>
    </xf>
    <xf numFmtId="0" fontId="3" fillId="14" borderId="32" xfId="5" applyFont="1" applyFill="1" applyBorder="1" applyAlignment="1">
      <alignment horizontal="center" vertical="center" wrapText="1"/>
    </xf>
    <xf numFmtId="0" fontId="1" fillId="14" borderId="32" xfId="5" applyFill="1" applyBorder="1" applyAlignment="1">
      <alignment horizontal="center" vertical="center" wrapText="1"/>
    </xf>
    <xf numFmtId="0" fontId="1" fillId="14" borderId="33" xfId="5" applyFill="1" applyBorder="1" applyAlignment="1">
      <alignment horizontal="center" vertical="center" wrapText="1"/>
    </xf>
    <xf numFmtId="43" fontId="26" fillId="0" borderId="0" xfId="1" applyFont="1" applyAlignment="1">
      <alignment horizontal="center" vertical="center"/>
    </xf>
    <xf numFmtId="0" fontId="0" fillId="15" borderId="0" xfId="0" applyFill="1"/>
    <xf numFmtId="0" fontId="30" fillId="15" borderId="8" xfId="0" applyFont="1" applyFill="1" applyBorder="1"/>
    <xf numFmtId="1" fontId="30" fillId="15" borderId="8" xfId="0" applyNumberFormat="1" applyFont="1" applyFill="1" applyBorder="1" applyAlignment="1">
      <alignment horizontal="left"/>
    </xf>
    <xf numFmtId="0" fontId="32" fillId="0" borderId="0" xfId="0" applyFont="1" applyAlignment="1">
      <alignment horizontal="right"/>
    </xf>
    <xf numFmtId="49" fontId="1" fillId="14" borderId="10" xfId="0" applyNumberFormat="1" applyFont="1" applyFill="1" applyBorder="1" applyAlignment="1">
      <alignment horizontal="right" vertical="center"/>
    </xf>
    <xf numFmtId="49" fontId="1" fillId="16" borderId="10" xfId="0" applyNumberFormat="1" applyFont="1" applyFill="1" applyBorder="1" applyAlignment="1">
      <alignment horizontal="right" vertical="center"/>
    </xf>
    <xf numFmtId="49" fontId="1" fillId="16" borderId="10" xfId="0" applyNumberFormat="1" applyFont="1" applyFill="1" applyBorder="1" applyAlignment="1">
      <alignment horizontal="right" vertical="center" wrapText="1"/>
    </xf>
    <xf numFmtId="0" fontId="12" fillId="17" borderId="34" xfId="0" applyFont="1" applyFill="1" applyBorder="1" applyAlignment="1">
      <alignment vertical="center" wrapText="1"/>
    </xf>
    <xf numFmtId="0" fontId="12" fillId="17" borderId="35" xfId="0" applyFont="1" applyFill="1" applyBorder="1" applyAlignment="1">
      <alignment vertical="center" wrapText="1"/>
    </xf>
    <xf numFmtId="0" fontId="1" fillId="7" borderId="8" xfId="0" applyFont="1" applyFill="1" applyBorder="1" applyAlignment="1">
      <alignment horizontal="center" vertical="center"/>
    </xf>
    <xf numFmtId="0" fontId="1" fillId="7" borderId="37" xfId="0" applyFont="1" applyFill="1" applyBorder="1" applyAlignment="1">
      <alignment horizontal="center" vertical="center"/>
    </xf>
    <xf numFmtId="1" fontId="3" fillId="13" borderId="8" xfId="0" applyNumberFormat="1" applyFont="1" applyFill="1" applyBorder="1" applyAlignment="1">
      <alignment horizontal="center" vertical="center"/>
    </xf>
    <xf numFmtId="0" fontId="1" fillId="0" borderId="0" xfId="0" applyFont="1" applyAlignment="1">
      <alignment vertical="center"/>
    </xf>
    <xf numFmtId="0" fontId="1" fillId="7" borderId="0" xfId="0" applyFont="1" applyFill="1" applyAlignment="1">
      <alignment vertical="center"/>
    </xf>
    <xf numFmtId="0" fontId="1" fillId="15" borderId="8" xfId="0" applyFont="1" applyFill="1" applyBorder="1" applyAlignment="1">
      <alignment horizontal="center" vertical="center"/>
    </xf>
    <xf numFmtId="0" fontId="10" fillId="18" borderId="10" xfId="0" applyFont="1" applyFill="1" applyBorder="1" applyAlignment="1">
      <alignment vertical="center"/>
    </xf>
    <xf numFmtId="0" fontId="1" fillId="18" borderId="22" xfId="0" applyFont="1" applyFill="1" applyBorder="1" applyAlignment="1">
      <alignment vertical="center"/>
    </xf>
    <xf numFmtId="0" fontId="1" fillId="18" borderId="24" xfId="0" applyFont="1" applyFill="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0" fontId="1" fillId="19" borderId="38" xfId="0" applyFont="1" applyFill="1" applyBorder="1" applyAlignment="1">
      <alignment vertical="center"/>
    </xf>
    <xf numFmtId="0" fontId="1" fillId="19" borderId="40" xfId="0" applyFont="1" applyFill="1" applyBorder="1" applyAlignment="1">
      <alignment vertical="center"/>
    </xf>
    <xf numFmtId="0" fontId="1" fillId="14" borderId="22" xfId="0" applyFont="1" applyFill="1" applyBorder="1" applyAlignment="1">
      <alignment vertical="center"/>
    </xf>
    <xf numFmtId="0" fontId="1" fillId="10" borderId="22" xfId="0" applyFont="1" applyFill="1" applyBorder="1" applyAlignment="1">
      <alignment vertical="center"/>
    </xf>
    <xf numFmtId="0" fontId="1" fillId="8" borderId="0" xfId="0" applyFont="1" applyFill="1" applyAlignment="1">
      <alignment vertical="center"/>
    </xf>
    <xf numFmtId="0" fontId="1" fillId="16" borderId="22" xfId="0" applyFont="1" applyFill="1" applyBorder="1" applyAlignment="1">
      <alignment vertical="center"/>
    </xf>
    <xf numFmtId="0" fontId="1" fillId="16" borderId="22" xfId="0" applyFont="1" applyFill="1" applyBorder="1" applyAlignment="1">
      <alignment horizontal="center" vertical="center"/>
    </xf>
    <xf numFmtId="0" fontId="1" fillId="0" borderId="14" xfId="0" applyFont="1" applyBorder="1" applyAlignment="1">
      <alignment vertical="center"/>
    </xf>
    <xf numFmtId="0" fontId="1" fillId="0" borderId="21" xfId="0" applyFont="1" applyBorder="1" applyAlignment="1">
      <alignment vertical="center"/>
    </xf>
    <xf numFmtId="0" fontId="1" fillId="12" borderId="22" xfId="0" applyFont="1" applyFill="1" applyBorder="1" applyAlignment="1">
      <alignment vertical="center"/>
    </xf>
    <xf numFmtId="0" fontId="1" fillId="9" borderId="10" xfId="0" applyFont="1" applyFill="1" applyBorder="1" applyAlignment="1">
      <alignment horizontal="right" vertical="center"/>
    </xf>
    <xf numFmtId="0" fontId="1" fillId="9" borderId="22" xfId="0" applyFont="1" applyFill="1" applyBorder="1" applyAlignment="1">
      <alignment vertical="center"/>
    </xf>
    <xf numFmtId="2" fontId="1" fillId="9" borderId="22" xfId="0" applyNumberFormat="1" applyFont="1" applyFill="1" applyBorder="1" applyAlignment="1">
      <alignment horizontal="center" vertical="center"/>
    </xf>
    <xf numFmtId="0" fontId="0" fillId="20" borderId="0" xfId="0" applyFill="1"/>
    <xf numFmtId="0" fontId="34" fillId="20" borderId="0" xfId="0" applyFont="1" applyFill="1"/>
    <xf numFmtId="49" fontId="1" fillId="0" borderId="14" xfId="5" applyNumberFormat="1" applyBorder="1" applyAlignment="1">
      <alignment horizontal="right" vertical="center" wrapText="1"/>
    </xf>
    <xf numFmtId="49" fontId="1" fillId="2" borderId="0" xfId="5" applyNumberFormat="1" applyFill="1" applyAlignment="1">
      <alignment horizontal="left" vertical="center" wrapText="1"/>
    </xf>
    <xf numFmtId="49" fontId="1" fillId="0" borderId="0" xfId="5" applyNumberFormat="1" applyAlignment="1">
      <alignment horizontal="center" vertical="center" wrapText="1"/>
    </xf>
    <xf numFmtId="49" fontId="1" fillId="6" borderId="41" xfId="5" applyNumberFormat="1" applyFill="1" applyBorder="1" applyAlignment="1">
      <alignment horizontal="center" vertical="center" wrapText="1"/>
    </xf>
    <xf numFmtId="49" fontId="1" fillId="0" borderId="42" xfId="5" applyNumberFormat="1" applyBorder="1" applyAlignment="1">
      <alignment horizontal="center" vertical="center" wrapText="1"/>
    </xf>
    <xf numFmtId="1" fontId="1" fillId="13" borderId="43" xfId="5" applyNumberFormat="1" applyFill="1" applyBorder="1" applyAlignment="1">
      <alignment horizontal="center" vertical="center" wrapText="1"/>
    </xf>
    <xf numFmtId="1" fontId="1" fillId="7" borderId="44" xfId="5" applyNumberFormat="1" applyFill="1" applyBorder="1" applyAlignment="1">
      <alignment horizontal="center" vertical="center" wrapText="1"/>
    </xf>
    <xf numFmtId="1" fontId="1" fillId="7" borderId="44" xfId="0" applyNumberFormat="1" applyFont="1" applyFill="1" applyBorder="1" applyAlignment="1">
      <alignment horizontal="center" vertical="center"/>
    </xf>
    <xf numFmtId="1" fontId="1" fillId="7" borderId="45" xfId="5" applyNumberFormat="1" applyFill="1" applyBorder="1" applyAlignment="1">
      <alignment horizontal="center" vertical="center" wrapText="1"/>
    </xf>
    <xf numFmtId="49" fontId="1" fillId="3" borderId="46" xfId="5" applyNumberFormat="1" applyFill="1" applyBorder="1" applyAlignment="1">
      <alignment horizontal="center" vertical="center" wrapText="1"/>
    </xf>
    <xf numFmtId="49" fontId="1" fillId="3" borderId="7" xfId="5" applyNumberFormat="1" applyFill="1" applyBorder="1" applyAlignment="1">
      <alignment horizontal="center" vertical="center" wrapText="1"/>
    </xf>
    <xf numFmtId="49" fontId="1" fillId="0" borderId="12" xfId="5" applyNumberFormat="1" applyBorder="1" applyAlignment="1">
      <alignment horizontal="center" vertical="center" wrapText="1"/>
    </xf>
    <xf numFmtId="49" fontId="1" fillId="3" borderId="47" xfId="5" applyNumberFormat="1" applyFill="1" applyBorder="1" applyAlignment="1">
      <alignment horizontal="center" vertical="center" wrapText="1"/>
    </xf>
    <xf numFmtId="1" fontId="3" fillId="13" borderId="16" xfId="5" applyNumberFormat="1" applyFont="1" applyFill="1" applyBorder="1" applyAlignment="1">
      <alignment horizontal="center" vertical="center" wrapText="1"/>
    </xf>
    <xf numFmtId="1" fontId="3" fillId="13" borderId="16" xfId="0" applyNumberFormat="1" applyFont="1" applyFill="1" applyBorder="1" applyAlignment="1">
      <alignment horizontal="center" vertical="center"/>
    </xf>
    <xf numFmtId="1" fontId="3" fillId="13" borderId="48" xfId="5" applyNumberFormat="1" applyFont="1" applyFill="1" applyBorder="1" applyAlignment="1">
      <alignment horizontal="center" vertical="center" wrapText="1"/>
    </xf>
    <xf numFmtId="49" fontId="1" fillId="0" borderId="13" xfId="5" applyNumberFormat="1" applyBorder="1" applyAlignment="1">
      <alignment horizontal="left" vertical="center"/>
    </xf>
    <xf numFmtId="49" fontId="1" fillId="0" borderId="0" xfId="5" applyNumberFormat="1" applyAlignment="1">
      <alignment horizontal="left" vertical="center"/>
    </xf>
    <xf numFmtId="166" fontId="26" fillId="20" borderId="8" xfId="1" applyNumberFormat="1" applyFont="1" applyFill="1" applyBorder="1" applyAlignment="1">
      <alignment horizontal="center" vertical="center"/>
    </xf>
    <xf numFmtId="166" fontId="26" fillId="0" borderId="0" xfId="1" applyNumberFormat="1" applyFont="1" applyFill="1" applyBorder="1" applyAlignment="1">
      <alignment horizontal="center" vertical="center"/>
    </xf>
    <xf numFmtId="166" fontId="29" fillId="9" borderId="20" xfId="1" applyNumberFormat="1" applyFont="1" applyFill="1" applyBorder="1" applyAlignment="1">
      <alignment horizontal="center" vertical="center"/>
    </xf>
    <xf numFmtId="166" fontId="26" fillId="0" borderId="0" xfId="1" applyNumberFormat="1" applyFont="1" applyAlignment="1">
      <alignment horizontal="center" vertical="center"/>
    </xf>
    <xf numFmtId="166" fontId="26" fillId="21" borderId="8" xfId="1" applyNumberFormat="1" applyFont="1" applyFill="1" applyBorder="1" applyAlignment="1">
      <alignment horizontal="left" vertical="center"/>
    </xf>
    <xf numFmtId="166" fontId="26" fillId="0" borderId="0" xfId="1" applyNumberFormat="1" applyFont="1" applyFill="1" applyAlignment="1">
      <alignment horizontal="left" vertical="center"/>
    </xf>
    <xf numFmtId="166" fontId="29" fillId="9" borderId="20" xfId="1" applyNumberFormat="1" applyFont="1" applyFill="1" applyBorder="1" applyAlignment="1">
      <alignment horizontal="left" vertical="center"/>
    </xf>
    <xf numFmtId="166" fontId="36" fillId="20" borderId="8" xfId="1" applyNumberFormat="1" applyFont="1" applyFill="1" applyBorder="1" applyAlignment="1">
      <alignment vertical="top" wrapText="1"/>
    </xf>
    <xf numFmtId="166" fontId="36" fillId="21" borderId="8" xfId="1" applyNumberFormat="1" applyFont="1" applyFill="1" applyBorder="1" applyAlignment="1">
      <alignment vertical="top" wrapText="1"/>
    </xf>
    <xf numFmtId="0" fontId="5" fillId="8" borderId="0" xfId="0" applyFont="1" applyFill="1"/>
    <xf numFmtId="0" fontId="5" fillId="8" borderId="0" xfId="0" applyFont="1" applyFill="1" applyAlignment="1">
      <alignment horizontal="right"/>
    </xf>
    <xf numFmtId="0" fontId="5" fillId="21" borderId="0" xfId="0" applyFont="1" applyFill="1"/>
    <xf numFmtId="0" fontId="5" fillId="17" borderId="1" xfId="0" applyFont="1" applyFill="1" applyBorder="1"/>
    <xf numFmtId="0" fontId="5" fillId="17" borderId="43" xfId="0" applyFont="1" applyFill="1" applyBorder="1"/>
    <xf numFmtId="0" fontId="5" fillId="17" borderId="2" xfId="0" applyFont="1" applyFill="1" applyBorder="1"/>
    <xf numFmtId="0" fontId="5" fillId="17" borderId="3" xfId="0" applyFont="1" applyFill="1" applyBorder="1"/>
    <xf numFmtId="0" fontId="4" fillId="17" borderId="0" xfId="0" applyFont="1" applyFill="1"/>
    <xf numFmtId="0" fontId="5" fillId="17" borderId="0" xfId="0" applyFont="1" applyFill="1"/>
    <xf numFmtId="0" fontId="5" fillId="17" borderId="4" xfId="0" applyFont="1" applyFill="1" applyBorder="1"/>
    <xf numFmtId="0" fontId="5" fillId="17" borderId="3" xfId="0" applyFont="1" applyFill="1" applyBorder="1" applyAlignment="1">
      <alignment vertical="center"/>
    </xf>
    <xf numFmtId="0" fontId="4" fillId="17" borderId="10" xfId="0" applyFont="1" applyFill="1" applyBorder="1" applyAlignment="1">
      <alignment vertical="center"/>
    </xf>
    <xf numFmtId="0" fontId="37" fillId="17" borderId="0" xfId="0" applyFont="1" applyFill="1" applyAlignment="1">
      <alignment vertical="center"/>
    </xf>
    <xf numFmtId="0" fontId="5" fillId="17" borderId="0" xfId="0" applyFont="1" applyFill="1" applyAlignment="1">
      <alignment vertical="center"/>
    </xf>
    <xf numFmtId="0" fontId="5" fillId="17" borderId="4" xfId="0" applyFont="1" applyFill="1" applyBorder="1" applyAlignment="1">
      <alignment vertical="center"/>
    </xf>
    <xf numFmtId="0" fontId="5" fillId="21" borderId="0" xfId="0" applyFont="1" applyFill="1" applyAlignment="1">
      <alignment vertical="center"/>
    </xf>
    <xf numFmtId="0" fontId="37" fillId="17" borderId="0" xfId="0" applyFont="1" applyFill="1"/>
    <xf numFmtId="0" fontId="37" fillId="17" borderId="49" xfId="0" applyFont="1" applyFill="1" applyBorder="1" applyAlignment="1">
      <alignment horizontal="center" vertical="center"/>
    </xf>
    <xf numFmtId="0" fontId="5" fillId="17" borderId="8" xfId="0" applyFont="1" applyFill="1" applyBorder="1" applyAlignment="1">
      <alignment horizontal="center" vertical="center"/>
    </xf>
    <xf numFmtId="0" fontId="5" fillId="17" borderId="4" xfId="0" applyFont="1" applyFill="1" applyBorder="1" applyAlignment="1">
      <alignment horizontal="center" vertical="center"/>
    </xf>
    <xf numFmtId="0" fontId="4" fillId="17" borderId="8" xfId="0" applyFont="1" applyFill="1" applyBorder="1" applyAlignment="1">
      <alignment horizontal="center" vertical="center"/>
    </xf>
    <xf numFmtId="0" fontId="4" fillId="17" borderId="4" xfId="0" applyFont="1" applyFill="1" applyBorder="1" applyAlignment="1">
      <alignment horizontal="center" vertical="center"/>
    </xf>
    <xf numFmtId="0" fontId="5" fillId="17" borderId="0" xfId="0" applyFont="1" applyFill="1" applyAlignment="1">
      <alignment horizontal="left" vertical="center"/>
    </xf>
    <xf numFmtId="0" fontId="5" fillId="17" borderId="5" xfId="0" applyFont="1" applyFill="1" applyBorder="1"/>
    <xf numFmtId="0" fontId="5" fillId="17" borderId="6" xfId="0" applyFont="1" applyFill="1" applyBorder="1"/>
    <xf numFmtId="0" fontId="5" fillId="17" borderId="7" xfId="0" applyFont="1" applyFill="1" applyBorder="1"/>
    <xf numFmtId="0" fontId="1" fillId="0" borderId="0" xfId="0" applyFont="1" applyAlignment="1">
      <alignment horizontal="center" vertical="center"/>
    </xf>
    <xf numFmtId="1" fontId="1" fillId="6" borderId="44" xfId="5" applyNumberFormat="1" applyFill="1" applyBorder="1" applyAlignment="1">
      <alignment horizontal="center" vertical="center" wrapText="1"/>
    </xf>
    <xf numFmtId="1" fontId="1" fillId="6" borderId="50" xfId="5" applyNumberFormat="1" applyFill="1" applyBorder="1" applyAlignment="1">
      <alignment horizontal="center" vertical="center" wrapText="1"/>
    </xf>
    <xf numFmtId="167" fontId="38" fillId="0" borderId="0" xfId="0" applyNumberFormat="1" applyFont="1" applyAlignment="1">
      <alignment vertical="center"/>
    </xf>
    <xf numFmtId="0" fontId="33" fillId="17" borderId="0" xfId="0" applyFont="1" applyFill="1" applyAlignment="1">
      <alignment horizontal="right"/>
    </xf>
    <xf numFmtId="0" fontId="33" fillId="17" borderId="7" xfId="0" applyFont="1" applyFill="1" applyBorder="1" applyAlignment="1">
      <alignment horizontal="right"/>
    </xf>
    <xf numFmtId="0" fontId="4" fillId="17" borderId="0" xfId="0" applyFont="1" applyFill="1" applyAlignment="1">
      <alignment vertical="center"/>
    </xf>
    <xf numFmtId="0" fontId="39" fillId="17" borderId="0" xfId="0" applyFont="1" applyFill="1" applyAlignment="1">
      <alignment horizontal="right"/>
    </xf>
    <xf numFmtId="1" fontId="1" fillId="7" borderId="43" xfId="5" applyNumberFormat="1" applyFill="1" applyBorder="1" applyAlignment="1">
      <alignment horizontal="center" vertical="center" wrapText="1"/>
    </xf>
    <xf numFmtId="49" fontId="1" fillId="6" borderId="12" xfId="5" applyNumberFormat="1" applyFill="1" applyBorder="1" applyAlignment="1">
      <alignment horizontal="right" vertical="center" wrapText="1"/>
    </xf>
    <xf numFmtId="49" fontId="1" fillId="6" borderId="13" xfId="5" applyNumberFormat="1" applyFill="1" applyBorder="1" applyAlignment="1">
      <alignment horizontal="left" vertical="center" wrapText="1"/>
    </xf>
    <xf numFmtId="49" fontId="1" fillId="6" borderId="13" xfId="5" applyNumberFormat="1" applyFill="1" applyBorder="1" applyAlignment="1">
      <alignment horizontal="left" vertical="center"/>
    </xf>
    <xf numFmtId="1" fontId="1" fillId="7" borderId="13" xfId="5" applyNumberFormat="1" applyFill="1" applyBorder="1" applyAlignment="1">
      <alignment horizontal="center" vertical="center" wrapText="1"/>
    </xf>
    <xf numFmtId="1" fontId="1" fillId="7" borderId="29" xfId="5" applyNumberFormat="1" applyFill="1" applyBorder="1" applyAlignment="1">
      <alignment horizontal="center" vertical="center" wrapText="1"/>
    </xf>
    <xf numFmtId="0" fontId="1" fillId="14" borderId="27" xfId="5" applyFill="1" applyBorder="1" applyAlignment="1">
      <alignment horizontal="center" vertical="center" wrapText="1"/>
    </xf>
    <xf numFmtId="1" fontId="1" fillId="7" borderId="42" xfId="5" applyNumberFormat="1" applyFill="1" applyBorder="1" applyAlignment="1">
      <alignment horizontal="center" vertical="center" wrapText="1"/>
    </xf>
    <xf numFmtId="1" fontId="3" fillId="13" borderId="12" xfId="5" applyNumberFormat="1" applyFont="1" applyFill="1" applyBorder="1" applyAlignment="1">
      <alignment horizontal="center" vertical="center" wrapText="1"/>
    </xf>
    <xf numFmtId="1" fontId="3" fillId="13" borderId="13" xfId="5" applyNumberFormat="1" applyFont="1" applyFill="1" applyBorder="1" applyAlignment="1">
      <alignment horizontal="center" vertical="center" wrapText="1"/>
    </xf>
    <xf numFmtId="0" fontId="1" fillId="0" borderId="34" xfId="0" applyFont="1" applyBorder="1" applyAlignment="1">
      <alignment vertical="center"/>
    </xf>
    <xf numFmtId="2" fontId="1" fillId="8" borderId="0" xfId="5" applyNumberFormat="1" applyFill="1" applyAlignment="1">
      <alignment horizontal="center" vertical="center" wrapText="1"/>
    </xf>
    <xf numFmtId="167" fontId="1" fillId="8" borderId="0" xfId="5" applyNumberFormat="1" applyFill="1" applyAlignment="1">
      <alignment horizontal="center" vertical="center" wrapText="1"/>
    </xf>
    <xf numFmtId="49" fontId="1" fillId="8" borderId="39" xfId="5" applyNumberFormat="1" applyFill="1" applyBorder="1" applyAlignment="1">
      <alignment horizontal="center" vertical="center" wrapText="1"/>
    </xf>
    <xf numFmtId="0" fontId="1" fillId="6" borderId="29" xfId="5" applyFill="1" applyBorder="1" applyAlignment="1">
      <alignment horizontal="center" vertical="center"/>
    </xf>
    <xf numFmtId="0" fontId="1" fillId="6" borderId="13" xfId="5" applyFill="1" applyBorder="1" applyAlignment="1">
      <alignment horizontal="center" vertical="center" wrapText="1"/>
    </xf>
    <xf numFmtId="0" fontId="1" fillId="6" borderId="29" xfId="5" applyFill="1" applyBorder="1" applyAlignment="1">
      <alignment horizontal="center" vertical="center" wrapText="1"/>
    </xf>
    <xf numFmtId="0" fontId="1" fillId="6" borderId="27" xfId="5" applyFill="1" applyBorder="1" applyAlignment="1">
      <alignment horizontal="center" vertical="center" wrapText="1"/>
    </xf>
    <xf numFmtId="0" fontId="1" fillId="6" borderId="51" xfId="5" applyFill="1" applyBorder="1" applyAlignment="1">
      <alignment horizontal="center" vertical="center" wrapText="1"/>
    </xf>
    <xf numFmtId="0" fontId="3" fillId="6" borderId="51" xfId="5" applyFont="1" applyFill="1" applyBorder="1" applyAlignment="1">
      <alignment horizontal="center" vertical="center" wrapText="1"/>
    </xf>
    <xf numFmtId="0" fontId="1" fillId="6" borderId="36" xfId="5" applyFill="1" applyBorder="1" applyAlignment="1">
      <alignment horizontal="center" vertical="center" wrapText="1"/>
    </xf>
    <xf numFmtId="1" fontId="1" fillId="13" borderId="52" xfId="5" applyNumberFormat="1" applyFill="1" applyBorder="1" applyAlignment="1">
      <alignment horizontal="center" vertical="center" wrapText="1"/>
    </xf>
    <xf numFmtId="1" fontId="1" fillId="13" borderId="53" xfId="5" applyNumberFormat="1" applyFill="1" applyBorder="1" applyAlignment="1">
      <alignment horizontal="center" vertical="center" wrapText="1"/>
    </xf>
    <xf numFmtId="1" fontId="1" fillId="13" borderId="54" xfId="5" applyNumberFormat="1" applyFill="1" applyBorder="1" applyAlignment="1">
      <alignment horizontal="center" vertical="center" wrapText="1"/>
    </xf>
    <xf numFmtId="1" fontId="1" fillId="13" borderId="2" xfId="5" applyNumberFormat="1" applyFill="1" applyBorder="1" applyAlignment="1">
      <alignment horizontal="center" vertical="center" wrapText="1"/>
    </xf>
    <xf numFmtId="1" fontId="1" fillId="7" borderId="8" xfId="0" applyNumberFormat="1" applyFont="1" applyFill="1" applyBorder="1" applyAlignment="1">
      <alignment horizontal="center" vertical="center"/>
    </xf>
    <xf numFmtId="1" fontId="1" fillId="6" borderId="13" xfId="5" applyNumberFormat="1" applyFill="1" applyBorder="1" applyAlignment="1">
      <alignment horizontal="center" vertical="center" wrapText="1"/>
    </xf>
    <xf numFmtId="0" fontId="1" fillId="16" borderId="47" xfId="0" applyFont="1" applyFill="1" applyBorder="1" applyAlignment="1">
      <alignment horizontal="center" vertical="center"/>
    </xf>
    <xf numFmtId="0" fontId="1" fillId="16" borderId="55" xfId="0" applyFont="1" applyFill="1" applyBorder="1" applyAlignment="1">
      <alignment horizontal="center" vertical="center"/>
    </xf>
    <xf numFmtId="1" fontId="1" fillId="7" borderId="25" xfId="5" applyNumberFormat="1" applyFill="1" applyBorder="1" applyAlignment="1">
      <alignment horizontal="center" vertical="center" wrapText="1"/>
    </xf>
    <xf numFmtId="0" fontId="1" fillId="16" borderId="56" xfId="0" applyFont="1" applyFill="1" applyBorder="1" applyAlignment="1">
      <alignment horizontal="center" vertical="center"/>
    </xf>
    <xf numFmtId="49" fontId="1" fillId="6" borderId="57" xfId="0" applyNumberFormat="1" applyFont="1" applyFill="1" applyBorder="1" applyAlignment="1">
      <alignment horizontal="right" vertical="center"/>
    </xf>
    <xf numFmtId="0" fontId="1" fillId="6" borderId="58" xfId="0" applyFont="1" applyFill="1" applyBorder="1" applyAlignment="1">
      <alignment vertical="center" wrapText="1"/>
    </xf>
    <xf numFmtId="1" fontId="1" fillId="7" borderId="58" xfId="5" applyNumberFormat="1" applyFill="1" applyBorder="1" applyAlignment="1">
      <alignment horizontal="center" vertical="center" wrapText="1"/>
    </xf>
    <xf numFmtId="1" fontId="1" fillId="7" borderId="3" xfId="5" applyNumberFormat="1" applyFill="1" applyBorder="1" applyAlignment="1">
      <alignment horizontal="center" vertical="center" wrapText="1"/>
    </xf>
    <xf numFmtId="49" fontId="1" fillId="6" borderId="57" xfId="5" applyNumberFormat="1" applyFill="1" applyBorder="1" applyAlignment="1">
      <alignment horizontal="right" vertical="center" wrapText="1"/>
    </xf>
    <xf numFmtId="49" fontId="1" fillId="6" borderId="58" xfId="5" applyNumberFormat="1" applyFill="1" applyBorder="1" applyAlignment="1">
      <alignment horizontal="left" vertical="center" wrapText="1"/>
    </xf>
    <xf numFmtId="49" fontId="1" fillId="6" borderId="58" xfId="5" applyNumberFormat="1" applyFill="1" applyBorder="1" applyAlignment="1">
      <alignment horizontal="left" vertical="center"/>
    </xf>
    <xf numFmtId="0" fontId="1" fillId="14" borderId="41" xfId="5" applyFill="1" applyBorder="1" applyAlignment="1">
      <alignment horizontal="center" vertical="center" wrapText="1"/>
    </xf>
    <xf numFmtId="0" fontId="27" fillId="0" borderId="0" xfId="6"/>
    <xf numFmtId="0" fontId="5" fillId="8" borderId="0" xfId="6" applyFont="1" applyFill="1"/>
    <xf numFmtId="0" fontId="5" fillId="0" borderId="0" xfId="6" applyFont="1"/>
    <xf numFmtId="0" fontId="40" fillId="21" borderId="0" xfId="6" applyFont="1" applyFill="1" applyAlignment="1">
      <alignment horizontal="left" vertical="center"/>
    </xf>
    <xf numFmtId="0" fontId="18" fillId="8" borderId="0" xfId="6" applyFont="1" applyFill="1"/>
    <xf numFmtId="0" fontId="1" fillId="8" borderId="0" xfId="6" applyFont="1" applyFill="1"/>
    <xf numFmtId="0" fontId="19" fillId="8" borderId="0" xfId="6" applyFont="1" applyFill="1"/>
    <xf numFmtId="0" fontId="41" fillId="8" borderId="0" xfId="6" applyFont="1" applyFill="1"/>
    <xf numFmtId="168" fontId="20" fillId="0" borderId="8" xfId="6" applyNumberFormat="1" applyFont="1" applyBorder="1"/>
    <xf numFmtId="168" fontId="41" fillId="5" borderId="8" xfId="6" applyNumberFormat="1" applyFont="1" applyFill="1" applyBorder="1"/>
    <xf numFmtId="168" fontId="41" fillId="22" borderId="8" xfId="6" applyNumberFormat="1" applyFont="1" applyFill="1" applyBorder="1"/>
    <xf numFmtId="168" fontId="41" fillId="20" borderId="8" xfId="6" applyNumberFormat="1" applyFont="1" applyFill="1" applyBorder="1"/>
    <xf numFmtId="168" fontId="41" fillId="23" borderId="8" xfId="6" applyNumberFormat="1" applyFont="1" applyFill="1" applyBorder="1"/>
    <xf numFmtId="0" fontId="5" fillId="8" borderId="0" xfId="0" applyFont="1" applyFill="1" applyAlignment="1">
      <alignment vertical="center"/>
    </xf>
    <xf numFmtId="0" fontId="5" fillId="8" borderId="0" xfId="0" applyFont="1" applyFill="1" applyAlignment="1">
      <alignment horizontal="center" vertical="center"/>
    </xf>
    <xf numFmtId="168" fontId="20" fillId="0" borderId="49" xfId="6" applyNumberFormat="1" applyFont="1" applyBorder="1"/>
    <xf numFmtId="168" fontId="41" fillId="5" borderId="49" xfId="6" applyNumberFormat="1" applyFont="1" applyFill="1" applyBorder="1"/>
    <xf numFmtId="168" fontId="41" fillId="22" borderId="49" xfId="6" applyNumberFormat="1" applyFont="1" applyFill="1" applyBorder="1"/>
    <xf numFmtId="168" fontId="41" fillId="20" borderId="49" xfId="6" applyNumberFormat="1" applyFont="1" applyFill="1" applyBorder="1"/>
    <xf numFmtId="168" fontId="41" fillId="23" borderId="49" xfId="6" applyNumberFormat="1" applyFont="1" applyFill="1" applyBorder="1"/>
    <xf numFmtId="0" fontId="20" fillId="8" borderId="0" xfId="6" applyFont="1" applyFill="1"/>
    <xf numFmtId="0" fontId="28" fillId="20" borderId="0" xfId="2" applyFill="1" applyAlignment="1" applyProtection="1">
      <alignment vertical="center"/>
      <protection locked="0"/>
    </xf>
    <xf numFmtId="0" fontId="39" fillId="0" borderId="6" xfId="0" applyFont="1" applyBorder="1" applyAlignment="1">
      <alignment horizontal="left"/>
    </xf>
    <xf numFmtId="0" fontId="1" fillId="15" borderId="58" xfId="0" applyFont="1" applyFill="1" applyBorder="1" applyAlignment="1">
      <alignment horizontal="center" vertical="center"/>
    </xf>
    <xf numFmtId="0" fontId="1" fillId="14" borderId="41" xfId="0" applyFont="1" applyFill="1" applyBorder="1" applyAlignment="1">
      <alignment horizontal="center" vertical="center"/>
    </xf>
    <xf numFmtId="0" fontId="1" fillId="16" borderId="59" xfId="0" applyFont="1" applyFill="1" applyBorder="1" applyAlignment="1">
      <alignment horizontal="center" vertical="center"/>
    </xf>
    <xf numFmtId="1" fontId="1" fillId="7" borderId="37" xfId="5" applyNumberFormat="1" applyFill="1" applyBorder="1" applyAlignment="1">
      <alignment horizontal="center" vertical="center" wrapText="1"/>
    </xf>
    <xf numFmtId="1" fontId="5" fillId="17" borderId="0" xfId="0" applyNumberFormat="1" applyFont="1" applyFill="1" applyAlignment="1">
      <alignment horizontal="center"/>
    </xf>
    <xf numFmtId="0" fontId="12" fillId="17" borderId="21" xfId="0" applyFont="1" applyFill="1" applyBorder="1" applyAlignment="1">
      <alignment horizontal="right" vertical="center" wrapText="1"/>
    </xf>
    <xf numFmtId="0" fontId="22" fillId="17" borderId="14" xfId="0" applyFont="1" applyFill="1" applyBorder="1" applyAlignment="1">
      <alignment vertical="center" wrapText="1"/>
    </xf>
    <xf numFmtId="0" fontId="12" fillId="17" borderId="0" xfId="0" applyFont="1" applyFill="1" applyAlignment="1">
      <alignment horizontal="right" vertical="center"/>
    </xf>
    <xf numFmtId="0" fontId="12" fillId="17" borderId="21" xfId="0" applyFont="1" applyFill="1" applyBorder="1" applyAlignment="1">
      <alignment vertical="center"/>
    </xf>
    <xf numFmtId="0" fontId="21" fillId="17" borderId="60" xfId="0" applyFont="1" applyFill="1" applyBorder="1" applyAlignment="1">
      <alignment vertical="center"/>
    </xf>
    <xf numFmtId="0" fontId="21" fillId="17" borderId="61" xfId="0" applyFont="1" applyFill="1" applyBorder="1" applyAlignment="1">
      <alignment vertical="center"/>
    </xf>
    <xf numFmtId="0" fontId="21" fillId="17" borderId="64" xfId="0" applyFont="1" applyFill="1" applyBorder="1" applyAlignment="1">
      <alignment vertical="center"/>
    </xf>
    <xf numFmtId="0" fontId="32" fillId="0" borderId="0" xfId="0" applyFont="1" applyAlignment="1">
      <alignment horizontal="left"/>
    </xf>
    <xf numFmtId="0" fontId="22" fillId="17" borderId="0" xfId="0" applyFont="1" applyFill="1" applyAlignment="1">
      <alignment vertical="center" wrapText="1"/>
    </xf>
    <xf numFmtId="0" fontId="31" fillId="0" borderId="6" xfId="0" applyFont="1" applyBorder="1" applyAlignment="1">
      <alignment horizontal="left"/>
    </xf>
    <xf numFmtId="0" fontId="0" fillId="0" borderId="0" xfId="0" applyAlignment="1">
      <alignment horizontal="right"/>
    </xf>
    <xf numFmtId="173" fontId="1" fillId="17" borderId="31" xfId="5" applyNumberFormat="1" applyFill="1" applyBorder="1" applyAlignment="1">
      <alignment horizontal="center" vertical="center" wrapText="1"/>
    </xf>
    <xf numFmtId="0" fontId="0" fillId="17" borderId="0" xfId="0" applyFill="1"/>
    <xf numFmtId="0" fontId="0" fillId="17" borderId="0" xfId="0" applyFill="1" applyAlignment="1">
      <alignment horizontal="right"/>
    </xf>
    <xf numFmtId="0" fontId="42" fillId="17" borderId="0" xfId="0" applyFont="1" applyFill="1"/>
    <xf numFmtId="0" fontId="43" fillId="17" borderId="0" xfId="0" applyFont="1" applyFill="1"/>
    <xf numFmtId="0" fontId="42" fillId="17" borderId="0" xfId="0" applyFont="1" applyFill="1" applyAlignment="1">
      <alignment horizontal="right"/>
    </xf>
    <xf numFmtId="0" fontId="0" fillId="8" borderId="1" xfId="0" applyFill="1" applyBorder="1"/>
    <xf numFmtId="0" fontId="0" fillId="8" borderId="43" xfId="0" applyFill="1" applyBorder="1"/>
    <xf numFmtId="0" fontId="0" fillId="8" borderId="43" xfId="0" applyFill="1" applyBorder="1" applyAlignment="1">
      <alignment horizontal="right"/>
    </xf>
    <xf numFmtId="0" fontId="0" fillId="8" borderId="2" xfId="0" applyFill="1" applyBorder="1"/>
    <xf numFmtId="0" fontId="0" fillId="8" borderId="3" xfId="0" applyFill="1" applyBorder="1"/>
    <xf numFmtId="0" fontId="0" fillId="8" borderId="0" xfId="0" applyFill="1"/>
    <xf numFmtId="0" fontId="30" fillId="8" borderId="0" xfId="0" applyFont="1" applyFill="1" applyAlignment="1">
      <alignment horizontal="right"/>
    </xf>
    <xf numFmtId="0" fontId="30" fillId="8" borderId="0" xfId="0" applyFont="1" applyFill="1"/>
    <xf numFmtId="0" fontId="30" fillId="8" borderId="43" xfId="0" applyFont="1" applyFill="1" applyBorder="1"/>
    <xf numFmtId="0" fontId="30" fillId="8" borderId="43" xfId="0" applyFont="1" applyFill="1" applyBorder="1" applyAlignment="1">
      <alignment horizontal="right"/>
    </xf>
    <xf numFmtId="0" fontId="30" fillId="8" borderId="4" xfId="0" applyFont="1" applyFill="1" applyBorder="1"/>
    <xf numFmtId="0" fontId="0" fillId="8" borderId="0" xfId="0" applyFill="1" applyAlignment="1">
      <alignment horizontal="right"/>
    </xf>
    <xf numFmtId="0" fontId="0" fillId="8" borderId="4" xfId="0" applyFill="1" applyBorder="1"/>
    <xf numFmtId="0" fontId="30" fillId="8" borderId="4" xfId="0" applyFont="1" applyFill="1" applyBorder="1" applyAlignment="1">
      <alignment horizontal="center"/>
    </xf>
    <xf numFmtId="0" fontId="0" fillId="8" borderId="65" xfId="0" applyFill="1" applyBorder="1"/>
    <xf numFmtId="0" fontId="0" fillId="8" borderId="66" xfId="0" applyFill="1" applyBorder="1"/>
    <xf numFmtId="0" fontId="0" fillId="8" borderId="67" xfId="0" applyFill="1" applyBorder="1"/>
    <xf numFmtId="2" fontId="0" fillId="8" borderId="0" xfId="0" applyNumberFormat="1" applyFill="1"/>
    <xf numFmtId="0" fontId="0" fillId="8" borderId="8" xfId="0" applyFill="1" applyBorder="1"/>
    <xf numFmtId="0" fontId="0" fillId="8" borderId="8" xfId="0" applyFill="1" applyBorder="1" applyAlignment="1">
      <alignment horizontal="center"/>
    </xf>
    <xf numFmtId="0" fontId="0" fillId="8" borderId="5" xfId="0" applyFill="1" applyBorder="1"/>
    <xf numFmtId="0" fontId="0" fillId="8" borderId="6" xfId="0" applyFill="1" applyBorder="1"/>
    <xf numFmtId="0" fontId="0" fillId="8" borderId="6" xfId="0" applyFill="1" applyBorder="1" applyAlignment="1">
      <alignment horizontal="right"/>
    </xf>
    <xf numFmtId="0" fontId="0" fillId="8" borderId="7" xfId="0" applyFill="1" applyBorder="1"/>
    <xf numFmtId="1" fontId="0" fillId="8" borderId="0" xfId="0" applyNumberFormat="1" applyFill="1" applyAlignment="1">
      <alignment horizontal="center"/>
    </xf>
    <xf numFmtId="1" fontId="0" fillId="8" borderId="0" xfId="0" applyNumberFormat="1" applyFill="1" applyAlignment="1">
      <alignment horizontal="right"/>
    </xf>
    <xf numFmtId="14" fontId="0" fillId="8" borderId="0" xfId="0" applyNumberFormat="1" applyFill="1"/>
    <xf numFmtId="14" fontId="0" fillId="8" borderId="0" xfId="0" applyNumberFormat="1" applyFill="1" applyAlignment="1">
      <alignment horizontal="right"/>
    </xf>
    <xf numFmtId="1" fontId="0" fillId="8" borderId="0" xfId="0" applyNumberFormat="1" applyFill="1"/>
    <xf numFmtId="2" fontId="0" fillId="8" borderId="0" xfId="0" applyNumberFormat="1" applyFill="1" applyAlignment="1">
      <alignment horizontal="right"/>
    </xf>
    <xf numFmtId="0" fontId="23" fillId="24" borderId="0" xfId="7" applyFill="1" applyProtection="1">
      <protection locked="0"/>
    </xf>
    <xf numFmtId="0" fontId="0" fillId="24" borderId="0" xfId="0" applyFill="1"/>
    <xf numFmtId="0" fontId="0" fillId="24" borderId="0" xfId="0" applyFill="1" applyAlignment="1">
      <alignment horizontal="right"/>
    </xf>
    <xf numFmtId="164" fontId="30" fillId="8" borderId="4" xfId="8" applyNumberFormat="1" applyFont="1" applyFill="1" applyBorder="1" applyAlignment="1" applyProtection="1">
      <alignment horizontal="left" indent="1"/>
    </xf>
    <xf numFmtId="164" fontId="30" fillId="8" borderId="4" xfId="8" applyNumberFormat="1" applyFont="1" applyFill="1" applyBorder="1" applyProtection="1"/>
    <xf numFmtId="164" fontId="30" fillId="8" borderId="4" xfId="0" applyNumberFormat="1" applyFont="1" applyFill="1" applyBorder="1"/>
    <xf numFmtId="0" fontId="0" fillId="17" borderId="0" xfId="0" applyFill="1" applyAlignment="1">
      <alignment vertical="center"/>
    </xf>
    <xf numFmtId="0" fontId="0" fillId="8" borderId="3" xfId="0" applyFill="1" applyBorder="1" applyAlignment="1">
      <alignment vertical="center"/>
    </xf>
    <xf numFmtId="0" fontId="0" fillId="8" borderId="0" xfId="0" applyFill="1" applyAlignment="1">
      <alignment vertical="center"/>
    </xf>
    <xf numFmtId="0" fontId="30" fillId="8" borderId="0" xfId="0" applyFont="1" applyFill="1" applyAlignment="1">
      <alignment horizontal="right" vertical="center"/>
    </xf>
    <xf numFmtId="0" fontId="30" fillId="8" borderId="0" xfId="0" quotePrefix="1" applyFont="1" applyFill="1" applyAlignment="1">
      <alignment horizontal="right" vertical="center"/>
    </xf>
    <xf numFmtId="0" fontId="0" fillId="24" borderId="0" xfId="0" applyFill="1" applyAlignment="1">
      <alignment vertical="center"/>
    </xf>
    <xf numFmtId="0" fontId="0" fillId="0" borderId="0" xfId="0" applyAlignment="1">
      <alignment vertical="center"/>
    </xf>
    <xf numFmtId="0" fontId="0" fillId="8" borderId="3" xfId="0" applyFill="1" applyBorder="1" applyAlignment="1">
      <alignment vertical="top"/>
    </xf>
    <xf numFmtId="174" fontId="0" fillId="8" borderId="0" xfId="0" applyNumberFormat="1" applyFill="1" applyAlignment="1">
      <alignment horizontal="center"/>
    </xf>
    <xf numFmtId="164" fontId="30" fillId="8" borderId="4" xfId="0" applyNumberFormat="1" applyFont="1" applyFill="1" applyBorder="1" applyAlignment="1">
      <alignment vertical="center"/>
    </xf>
    <xf numFmtId="0" fontId="23" fillId="5" borderId="0" xfId="7" applyFill="1"/>
    <xf numFmtId="0" fontId="23" fillId="24" borderId="0" xfId="7" applyFill="1"/>
    <xf numFmtId="0" fontId="23" fillId="0" borderId="0" xfId="7"/>
    <xf numFmtId="0" fontId="23" fillId="4" borderId="0" xfId="7" applyFill="1"/>
    <xf numFmtId="0" fontId="23" fillId="4" borderId="0" xfId="7" applyFill="1" applyAlignment="1">
      <alignment horizontal="center"/>
    </xf>
    <xf numFmtId="14" fontId="23" fillId="4" borderId="0" xfId="7" applyNumberFormat="1" applyFill="1" applyAlignment="1">
      <alignment horizontal="center"/>
    </xf>
    <xf numFmtId="0" fontId="23" fillId="25" borderId="70" xfId="7" applyFill="1" applyBorder="1"/>
    <xf numFmtId="14" fontId="23" fillId="25" borderId="70" xfId="7" applyNumberFormat="1" applyFill="1" applyBorder="1" applyAlignment="1">
      <alignment horizontal="center"/>
    </xf>
    <xf numFmtId="0" fontId="25" fillId="4" borderId="0" xfId="7" applyFont="1" applyFill="1" applyAlignment="1">
      <alignment vertical="center"/>
    </xf>
    <xf numFmtId="0" fontId="13" fillId="4" borderId="0" xfId="7" applyFont="1" applyFill="1" applyAlignment="1">
      <alignment vertical="center"/>
    </xf>
    <xf numFmtId="0" fontId="13" fillId="4" borderId="0" xfId="7" applyFont="1" applyFill="1" applyAlignment="1">
      <alignment horizontal="center" vertical="center"/>
    </xf>
    <xf numFmtId="0" fontId="23" fillId="4" borderId="0" xfId="7" applyFill="1" applyAlignment="1">
      <alignment vertical="center"/>
    </xf>
    <xf numFmtId="49" fontId="25" fillId="4" borderId="0" xfId="7" applyNumberFormat="1" applyFont="1" applyFill="1"/>
    <xf numFmtId="0" fontId="44" fillId="4" borderId="0" xfId="7" applyFont="1" applyFill="1"/>
    <xf numFmtId="169" fontId="26" fillId="4" borderId="0" xfId="4" applyNumberFormat="1" applyFont="1" applyFill="1" applyBorder="1" applyAlignment="1" applyProtection="1"/>
    <xf numFmtId="170" fontId="23" fillId="4" borderId="0" xfId="7" applyNumberFormat="1" applyFill="1"/>
    <xf numFmtId="0" fontId="23" fillId="4" borderId="0" xfId="7" applyFill="1" applyAlignment="1">
      <alignment horizontal="right"/>
    </xf>
    <xf numFmtId="171" fontId="23" fillId="24" borderId="0" xfId="7" applyNumberFormat="1" applyFill="1"/>
    <xf numFmtId="2" fontId="23" fillId="4" borderId="0" xfId="7" applyNumberFormat="1" applyFill="1"/>
    <xf numFmtId="172" fontId="23" fillId="4" borderId="0" xfId="7" applyNumberFormat="1" applyFill="1"/>
    <xf numFmtId="0" fontId="24" fillId="4" borderId="0" xfId="7" applyFont="1" applyFill="1"/>
    <xf numFmtId="0" fontId="25" fillId="25" borderId="0" xfId="7" applyFont="1" applyFill="1" applyAlignment="1">
      <alignment vertical="center"/>
    </xf>
    <xf numFmtId="0" fontId="1" fillId="0" borderId="8" xfId="7" applyFont="1" applyBorder="1" applyAlignment="1" applyProtection="1">
      <alignment horizontal="center"/>
      <protection locked="0"/>
    </xf>
    <xf numFmtId="14" fontId="1" fillId="0" borderId="8" xfId="7" applyNumberFormat="1" applyFont="1" applyBorder="1" applyAlignment="1" applyProtection="1">
      <alignment horizontal="center"/>
      <protection locked="0"/>
    </xf>
    <xf numFmtId="167" fontId="30" fillId="8" borderId="4" xfId="0" applyNumberFormat="1" applyFont="1" applyFill="1" applyBorder="1" applyAlignment="1">
      <alignment horizontal="left"/>
    </xf>
    <xf numFmtId="0" fontId="29" fillId="9" borderId="22" xfId="0" applyFont="1" applyFill="1" applyBorder="1" applyAlignment="1">
      <alignment horizontal="left"/>
    </xf>
    <xf numFmtId="166" fontId="36" fillId="12" borderId="8" xfId="1" applyNumberFormat="1" applyFont="1" applyFill="1" applyBorder="1" applyAlignment="1">
      <alignment vertical="top" wrapText="1"/>
    </xf>
    <xf numFmtId="166" fontId="26" fillId="12" borderId="8" xfId="1" applyNumberFormat="1" applyFont="1" applyFill="1" applyBorder="1" applyAlignment="1">
      <alignment horizontal="left" vertical="center"/>
    </xf>
    <xf numFmtId="166" fontId="36" fillId="26" borderId="8" xfId="1" applyNumberFormat="1" applyFont="1" applyFill="1" applyBorder="1" applyAlignment="1">
      <alignment vertical="top" wrapText="1"/>
    </xf>
    <xf numFmtId="0" fontId="30" fillId="26" borderId="37" xfId="0" applyFont="1" applyFill="1" applyBorder="1"/>
    <xf numFmtId="166" fontId="46" fillId="12" borderId="8" xfId="1" applyNumberFormat="1" applyFont="1" applyFill="1" applyBorder="1" applyAlignment="1">
      <alignment horizontal="left" vertical="center"/>
    </xf>
    <xf numFmtId="166" fontId="46" fillId="21" borderId="8" xfId="1" applyNumberFormat="1" applyFont="1" applyFill="1" applyBorder="1" applyAlignment="1">
      <alignment horizontal="left" vertical="center"/>
    </xf>
    <xf numFmtId="166" fontId="46" fillId="20" borderId="8" xfId="1" applyNumberFormat="1" applyFont="1" applyFill="1" applyBorder="1" applyAlignment="1">
      <alignment horizontal="center" vertical="center"/>
    </xf>
    <xf numFmtId="166" fontId="26" fillId="26" borderId="8" xfId="1" applyNumberFormat="1" applyFont="1" applyFill="1" applyBorder="1" applyAlignment="1">
      <alignment horizontal="center" vertical="center"/>
    </xf>
    <xf numFmtId="166" fontId="46" fillId="26" borderId="8" xfId="1" applyNumberFormat="1" applyFont="1" applyFill="1" applyBorder="1" applyAlignment="1">
      <alignment horizontal="center" vertical="center"/>
    </xf>
    <xf numFmtId="0" fontId="0" fillId="8" borderId="0" xfId="0" applyFill="1" applyAlignment="1">
      <alignment horizontal="left"/>
    </xf>
    <xf numFmtId="0" fontId="0" fillId="8" borderId="0" xfId="0" applyFill="1" applyAlignment="1">
      <alignment horizontal="center"/>
    </xf>
    <xf numFmtId="0" fontId="51" fillId="20" borderId="0" xfId="0" applyFont="1" applyFill="1" applyAlignment="1">
      <alignment vertical="center" wrapText="1"/>
    </xf>
    <xf numFmtId="0" fontId="52" fillId="20" borderId="0" xfId="0" applyFont="1" applyFill="1"/>
    <xf numFmtId="0" fontId="53" fillId="20" borderId="0" xfId="0" applyFont="1" applyFill="1" applyAlignment="1">
      <alignment horizontal="center" vertical="center" wrapText="1"/>
    </xf>
    <xf numFmtId="0" fontId="0" fillId="20" borderId="74" xfId="0" applyFill="1" applyBorder="1" applyAlignment="1">
      <alignment horizontal="center"/>
    </xf>
    <xf numFmtId="0" fontId="0" fillId="20" borderId="75" xfId="0" applyFill="1" applyBorder="1" applyAlignment="1">
      <alignment horizontal="center"/>
    </xf>
    <xf numFmtId="0" fontId="0" fillId="20" borderId="76" xfId="0" applyFill="1" applyBorder="1" applyAlignment="1">
      <alignment horizontal="center"/>
    </xf>
    <xf numFmtId="0" fontId="54" fillId="19" borderId="38" xfId="0" applyFont="1" applyFill="1" applyBorder="1" applyAlignment="1">
      <alignment horizontal="center" vertical="center" wrapText="1"/>
    </xf>
    <xf numFmtId="0" fontId="53" fillId="20" borderId="8" xfId="0" applyFont="1" applyFill="1" applyBorder="1" applyAlignment="1">
      <alignment horizontal="center" vertical="center" wrapText="1"/>
    </xf>
    <xf numFmtId="0" fontId="0" fillId="20" borderId="0" xfId="0" applyFill="1" applyAlignment="1">
      <alignment horizontal="center"/>
    </xf>
    <xf numFmtId="0" fontId="53" fillId="20" borderId="10" xfId="0" applyFont="1" applyFill="1" applyBorder="1" applyAlignment="1">
      <alignment horizontal="center" vertical="center" wrapText="1"/>
    </xf>
    <xf numFmtId="0" fontId="53" fillId="20" borderId="77" xfId="0" applyFont="1" applyFill="1" applyBorder="1" applyAlignment="1">
      <alignment horizontal="center" vertical="center" wrapText="1"/>
    </xf>
    <xf numFmtId="0" fontId="0" fillId="20" borderId="77" xfId="0" applyFill="1" applyBorder="1" applyAlignment="1">
      <alignment horizontal="center"/>
    </xf>
    <xf numFmtId="43" fontId="12" fillId="17" borderId="35" xfId="1" applyFont="1" applyFill="1" applyBorder="1" applyAlignment="1">
      <alignment horizontal="right" vertical="top" wrapText="1"/>
    </xf>
    <xf numFmtId="6" fontId="12" fillId="17" borderId="35" xfId="0" applyNumberFormat="1" applyFont="1" applyFill="1" applyBorder="1" applyAlignment="1">
      <alignment horizontal="right" vertical="center" wrapText="1"/>
    </xf>
    <xf numFmtId="0" fontId="0" fillId="20" borderId="8" xfId="0" applyFill="1" applyBorder="1"/>
    <xf numFmtId="0" fontId="0" fillId="20" borderId="16" xfId="0" applyFill="1" applyBorder="1"/>
    <xf numFmtId="0" fontId="54" fillId="19" borderId="61" xfId="0" applyFont="1" applyFill="1" applyBorder="1" applyAlignment="1">
      <alignment horizontal="center" vertical="center" wrapText="1"/>
    </xf>
    <xf numFmtId="0" fontId="0" fillId="20" borderId="12" xfId="1" applyNumberFormat="1" applyFont="1" applyFill="1" applyBorder="1"/>
    <xf numFmtId="0" fontId="0" fillId="20" borderId="13" xfId="1" applyNumberFormat="1" applyFont="1" applyFill="1" applyBorder="1"/>
    <xf numFmtId="0" fontId="3" fillId="0" borderId="0" xfId="0" applyFont="1"/>
    <xf numFmtId="0" fontId="55" fillId="0" borderId="0" xfId="0" applyFont="1"/>
    <xf numFmtId="0" fontId="56" fillId="0" borderId="0" xfId="0" applyFont="1"/>
    <xf numFmtId="0" fontId="57" fillId="0" borderId="0" xfId="0" applyFont="1" applyAlignment="1">
      <alignment horizontal="justify" vertical="center"/>
    </xf>
    <xf numFmtId="0" fontId="58" fillId="0" borderId="0" xfId="0" applyFont="1" applyAlignment="1">
      <alignment horizontal="right"/>
    </xf>
    <xf numFmtId="49" fontId="58" fillId="0" borderId="0" xfId="0" applyNumberFormat="1" applyFont="1" applyAlignment="1">
      <alignment horizontal="left"/>
    </xf>
    <xf numFmtId="0" fontId="12" fillId="0" borderId="0" xfId="0" applyFont="1"/>
    <xf numFmtId="0" fontId="59" fillId="0" borderId="0" xfId="0" applyFont="1"/>
    <xf numFmtId="0" fontId="60" fillId="0" borderId="0" xfId="0" applyFont="1"/>
    <xf numFmtId="0" fontId="10" fillId="0" borderId="0" xfId="0" applyFont="1"/>
    <xf numFmtId="0" fontId="62" fillId="0" borderId="0" xfId="0" applyFont="1"/>
    <xf numFmtId="0" fontId="63" fillId="0" borderId="0" xfId="0" applyFont="1"/>
    <xf numFmtId="0" fontId="64" fillId="0" borderId="0" xfId="0" applyFont="1"/>
    <xf numFmtId="14" fontId="61" fillId="0" borderId="8" xfId="0" applyNumberFormat="1" applyFont="1" applyBorder="1" applyAlignment="1" applyProtection="1">
      <alignment horizontal="center"/>
      <protection locked="0"/>
    </xf>
    <xf numFmtId="165" fontId="61" fillId="0" borderId="8" xfId="1" applyNumberFormat="1" applyFont="1" applyFill="1" applyBorder="1" applyAlignment="1" applyProtection="1">
      <alignment vertical="center"/>
      <protection locked="0"/>
    </xf>
    <xf numFmtId="1" fontId="61" fillId="0" borderId="8" xfId="0" applyNumberFormat="1" applyFont="1" applyBorder="1" applyAlignment="1" applyProtection="1">
      <alignment horizontal="center"/>
      <protection locked="0"/>
    </xf>
    <xf numFmtId="0" fontId="61" fillId="0" borderId="8" xfId="0" applyFont="1" applyBorder="1" applyAlignment="1" applyProtection="1">
      <alignment horizontal="center"/>
      <protection locked="0"/>
    </xf>
    <xf numFmtId="1" fontId="61" fillId="0" borderId="8" xfId="1" applyNumberFormat="1" applyFont="1" applyFill="1" applyBorder="1" applyAlignment="1" applyProtection="1">
      <alignment horizontal="center" vertical="center"/>
      <protection locked="0"/>
    </xf>
    <xf numFmtId="1" fontId="61" fillId="0" borderId="8" xfId="1" applyNumberFormat="1" applyFont="1" applyFill="1" applyBorder="1" applyAlignment="1" applyProtection="1">
      <alignment horizontal="center"/>
      <protection locked="0"/>
    </xf>
    <xf numFmtId="0" fontId="63" fillId="0" borderId="0" xfId="0" applyFont="1" applyAlignment="1">
      <alignment horizontal="center" vertical="top"/>
    </xf>
    <xf numFmtId="175" fontId="61" fillId="0" borderId="8" xfId="8" applyNumberFormat="1" applyFont="1" applyFill="1" applyBorder="1" applyAlignment="1" applyProtection="1">
      <alignment horizontal="center" vertical="center"/>
      <protection locked="0"/>
    </xf>
    <xf numFmtId="0" fontId="4" fillId="0" borderId="0" xfId="0" applyFont="1" applyAlignment="1">
      <alignment vertical="top"/>
    </xf>
    <xf numFmtId="0" fontId="67" fillId="0" borderId="0" xfId="0" applyFont="1" applyAlignment="1">
      <alignment vertical="top"/>
    </xf>
    <xf numFmtId="0" fontId="3" fillId="0" borderId="0" xfId="0" applyFont="1" applyAlignment="1">
      <alignment vertical="top"/>
    </xf>
    <xf numFmtId="0" fontId="56" fillId="0" borderId="0" xfId="0" applyFont="1" applyAlignment="1">
      <alignment vertical="top"/>
    </xf>
    <xf numFmtId="0" fontId="12" fillId="17" borderId="39" xfId="0" applyFont="1" applyFill="1" applyBorder="1" applyAlignment="1">
      <alignment vertical="center" wrapText="1"/>
    </xf>
    <xf numFmtId="6" fontId="12" fillId="17" borderId="39" xfId="0" applyNumberFormat="1" applyFont="1" applyFill="1" applyBorder="1" applyAlignment="1">
      <alignment horizontal="right" vertical="center" wrapText="1"/>
    </xf>
    <xf numFmtId="0" fontId="12" fillId="17" borderId="40" xfId="0" applyFont="1" applyFill="1" applyBorder="1" applyAlignment="1">
      <alignment horizontal="right" vertical="center" wrapText="1"/>
    </xf>
    <xf numFmtId="0" fontId="12" fillId="17" borderId="36" xfId="0" applyFont="1" applyFill="1" applyBorder="1" applyAlignment="1">
      <alignment horizontal="right" vertical="center" wrapText="1"/>
    </xf>
    <xf numFmtId="0" fontId="4" fillId="17" borderId="0" xfId="0" applyFont="1" applyFill="1" applyAlignment="1">
      <alignment vertical="center" wrapText="1"/>
    </xf>
    <xf numFmtId="164" fontId="12" fillId="17" borderId="3" xfId="0" applyNumberFormat="1" applyFont="1" applyFill="1" applyBorder="1" applyAlignment="1">
      <alignment horizontal="right" vertical="center" wrapText="1"/>
    </xf>
    <xf numFmtId="164" fontId="12" fillId="17" borderId="0" xfId="0" applyNumberFormat="1" applyFont="1" applyFill="1" applyAlignment="1">
      <alignment horizontal="left" vertical="center" wrapText="1"/>
    </xf>
    <xf numFmtId="164" fontId="12" fillId="17" borderId="4" xfId="0" applyNumberFormat="1" applyFont="1" applyFill="1" applyBorder="1" applyAlignment="1">
      <alignment vertical="center" wrapText="1"/>
    </xf>
    <xf numFmtId="164" fontId="12" fillId="17" borderId="21" xfId="8" applyNumberFormat="1" applyFont="1" applyFill="1" applyBorder="1" applyAlignment="1">
      <alignment horizontal="right" vertical="center" wrapText="1" indent="1"/>
    </xf>
    <xf numFmtId="164" fontId="12" fillId="17" borderId="5" xfId="0" applyNumberFormat="1" applyFont="1" applyFill="1" applyBorder="1" applyAlignment="1">
      <alignment horizontal="right" vertical="center" wrapText="1"/>
    </xf>
    <xf numFmtId="164" fontId="12" fillId="17" borderId="7" xfId="0" applyNumberFormat="1" applyFont="1" applyFill="1" applyBorder="1" applyAlignment="1">
      <alignment vertical="center" wrapText="1"/>
    </xf>
    <xf numFmtId="6" fontId="12" fillId="17" borderId="62" xfId="0" applyNumberFormat="1" applyFont="1" applyFill="1" applyBorder="1" applyAlignment="1">
      <alignment horizontal="right" vertical="center" wrapText="1"/>
    </xf>
    <xf numFmtId="6" fontId="12" fillId="17" borderId="0" xfId="0" applyNumberFormat="1" applyFont="1" applyFill="1" applyAlignment="1">
      <alignment horizontal="left" vertical="center" wrapText="1"/>
    </xf>
    <xf numFmtId="6" fontId="12" fillId="17" borderId="63" xfId="0" applyNumberFormat="1" applyFont="1" applyFill="1" applyBorder="1" applyAlignment="1">
      <alignment vertical="center" wrapText="1"/>
    </xf>
    <xf numFmtId="0" fontId="12" fillId="17" borderId="35" xfId="0" applyFont="1" applyFill="1" applyBorder="1"/>
    <xf numFmtId="0" fontId="12" fillId="17" borderId="36" xfId="0" applyFont="1" applyFill="1" applyBorder="1"/>
    <xf numFmtId="49" fontId="59" fillId="0" borderId="0" xfId="0" applyNumberFormat="1" applyFont="1"/>
    <xf numFmtId="0" fontId="1" fillId="0" borderId="0" xfId="0" applyFont="1"/>
    <xf numFmtId="0" fontId="3" fillId="8" borderId="44" xfId="0" applyFont="1" applyFill="1" applyBorder="1"/>
    <xf numFmtId="0" fontId="12" fillId="8" borderId="44" xfId="0" applyFont="1" applyFill="1" applyBorder="1"/>
    <xf numFmtId="43" fontId="61" fillId="0" borderId="8" xfId="1" applyFont="1" applyFill="1" applyBorder="1" applyAlignment="1" applyProtection="1">
      <alignment horizontal="center" vertical="center"/>
      <protection locked="0"/>
    </xf>
    <xf numFmtId="0" fontId="35" fillId="20" borderId="0" xfId="0" applyFont="1" applyFill="1" applyAlignment="1">
      <alignment horizontal="right" vertical="center" wrapText="1"/>
    </xf>
    <xf numFmtId="0" fontId="0" fillId="20" borderId="29" xfId="1" applyNumberFormat="1" applyFont="1" applyFill="1" applyBorder="1"/>
    <xf numFmtId="0" fontId="0" fillId="20" borderId="37" xfId="0" applyFill="1" applyBorder="1"/>
    <xf numFmtId="0" fontId="30" fillId="29" borderId="27" xfId="0" applyFont="1" applyFill="1" applyBorder="1"/>
    <xf numFmtId="0" fontId="30" fillId="29" borderId="31" xfId="0" applyFont="1" applyFill="1" applyBorder="1"/>
    <xf numFmtId="0" fontId="29" fillId="0" borderId="0" xfId="0" applyFont="1"/>
    <xf numFmtId="0" fontId="20" fillId="0" borderId="0" xfId="0" applyFont="1"/>
    <xf numFmtId="49" fontId="20" fillId="0" borderId="0" xfId="0" applyNumberFormat="1" applyFont="1"/>
    <xf numFmtId="6" fontId="12" fillId="19" borderId="0" xfId="0" applyNumberFormat="1" applyFont="1" applyFill="1" applyAlignment="1">
      <alignment horizontal="right" vertical="center" wrapText="1"/>
    </xf>
    <xf numFmtId="0" fontId="12" fillId="19" borderId="21" xfId="0" applyFont="1" applyFill="1" applyBorder="1" applyAlignment="1">
      <alignment horizontal="right" vertical="center" wrapText="1"/>
    </xf>
    <xf numFmtId="0" fontId="12" fillId="19" borderId="0" xfId="0" applyFont="1" applyFill="1" applyAlignment="1">
      <alignment vertical="center" wrapText="1"/>
    </xf>
    <xf numFmtId="0" fontId="12" fillId="19" borderId="14" xfId="0" applyFont="1" applyFill="1" applyBorder="1" applyAlignment="1">
      <alignment horizontal="left" vertical="center"/>
    </xf>
    <xf numFmtId="0" fontId="12" fillId="19" borderId="0" xfId="0" applyFont="1" applyFill="1" applyAlignment="1">
      <alignment horizontal="left" vertical="center"/>
    </xf>
    <xf numFmtId="44" fontId="12" fillId="19" borderId="0" xfId="8" applyFont="1" applyFill="1" applyBorder="1" applyAlignment="1">
      <alignment horizontal="right"/>
    </xf>
    <xf numFmtId="44" fontId="32" fillId="19" borderId="21" xfId="8" applyFont="1" applyFill="1" applyBorder="1" applyAlignment="1">
      <alignment horizontal="right"/>
    </xf>
    <xf numFmtId="9" fontId="12" fillId="19" borderId="0" xfId="0" applyNumberFormat="1" applyFont="1" applyFill="1" applyAlignment="1">
      <alignment horizontal="right" vertical="center" wrapText="1"/>
    </xf>
    <xf numFmtId="0" fontId="12" fillId="19" borderId="34" xfId="0" applyFont="1" applyFill="1" applyBorder="1" applyAlignment="1">
      <alignment horizontal="right" vertical="center" wrapText="1"/>
    </xf>
    <xf numFmtId="0" fontId="12" fillId="19" borderId="35" xfId="0" applyFont="1" applyFill="1" applyBorder="1" applyAlignment="1">
      <alignment horizontal="right" vertical="center" wrapText="1"/>
    </xf>
    <xf numFmtId="0" fontId="12" fillId="19" borderId="35" xfId="0" applyFont="1" applyFill="1" applyBorder="1" applyAlignment="1">
      <alignment vertical="center" wrapText="1"/>
    </xf>
    <xf numFmtId="6" fontId="12" fillId="19" borderId="35" xfId="0" applyNumberFormat="1" applyFont="1" applyFill="1" applyBorder="1" applyAlignment="1">
      <alignment horizontal="right" vertical="center" wrapText="1"/>
    </xf>
    <xf numFmtId="0" fontId="12" fillId="19" borderId="35" xfId="0" applyFont="1" applyFill="1" applyBorder="1" applyAlignment="1">
      <alignment horizontal="center"/>
    </xf>
    <xf numFmtId="0" fontId="12" fillId="19" borderId="36" xfId="0" applyFont="1" applyFill="1" applyBorder="1" applyAlignment="1">
      <alignment horizontal="center"/>
    </xf>
    <xf numFmtId="6" fontId="4" fillId="20" borderId="0" xfId="0" applyNumberFormat="1" applyFont="1" applyFill="1" applyAlignment="1">
      <alignment horizontal="right" vertical="center" wrapText="1"/>
    </xf>
    <xf numFmtId="165" fontId="4" fillId="20" borderId="0" xfId="1" applyNumberFormat="1" applyFont="1" applyFill="1" applyBorder="1" applyAlignment="1">
      <alignment horizontal="right" vertical="center" wrapText="1"/>
    </xf>
    <xf numFmtId="43" fontId="4" fillId="20" borderId="0" xfId="1" applyFont="1" applyFill="1" applyBorder="1" applyAlignment="1">
      <alignment horizontal="right" vertical="center" wrapText="1"/>
    </xf>
    <xf numFmtId="164" fontId="4" fillId="20" borderId="0" xfId="0" applyNumberFormat="1" applyFont="1" applyFill="1" applyAlignment="1">
      <alignment horizontal="right" vertical="center" wrapText="1"/>
    </xf>
    <xf numFmtId="6" fontId="4" fillId="20" borderId="35" xfId="0" applyNumberFormat="1" applyFont="1" applyFill="1" applyBorder="1" applyAlignment="1">
      <alignment horizontal="right" vertical="center" wrapText="1"/>
    </xf>
    <xf numFmtId="0" fontId="4" fillId="17" borderId="21" xfId="0" applyFont="1" applyFill="1" applyBorder="1" applyAlignment="1">
      <alignment wrapText="1"/>
    </xf>
    <xf numFmtId="165" fontId="4" fillId="17" borderId="0" xfId="1" applyNumberFormat="1" applyFont="1" applyFill="1" applyBorder="1" applyAlignment="1">
      <alignment horizontal="right" vertical="top" wrapText="1"/>
    </xf>
    <xf numFmtId="164" fontId="4" fillId="17" borderId="0" xfId="8" applyNumberFormat="1" applyFont="1" applyFill="1" applyBorder="1" applyAlignment="1">
      <alignment horizontal="right" vertical="top" wrapText="1"/>
    </xf>
    <xf numFmtId="43" fontId="4" fillId="17" borderId="0" xfId="1" applyFont="1" applyFill="1" applyBorder="1" applyAlignment="1">
      <alignment horizontal="center" vertical="top" wrapText="1"/>
    </xf>
    <xf numFmtId="1" fontId="4" fillId="17" borderId="0" xfId="1" applyNumberFormat="1" applyFont="1" applyFill="1" applyBorder="1" applyAlignment="1">
      <alignment horizontal="left" vertical="top" wrapText="1"/>
    </xf>
    <xf numFmtId="44" fontId="4" fillId="17" borderId="0" xfId="8" applyFont="1" applyFill="1" applyBorder="1" applyAlignment="1">
      <alignment horizontal="center" vertical="top" wrapText="1"/>
    </xf>
    <xf numFmtId="164" fontId="4" fillId="17" borderId="14" xfId="8" applyNumberFormat="1" applyFont="1" applyFill="1" applyBorder="1" applyAlignment="1">
      <alignment horizontal="right" vertical="top" wrapText="1"/>
    </xf>
    <xf numFmtId="0" fontId="4" fillId="17" borderId="34" xfId="0" applyFont="1" applyFill="1" applyBorder="1" applyAlignment="1">
      <alignment vertical="center" wrapText="1"/>
    </xf>
    <xf numFmtId="0" fontId="4" fillId="17" borderId="35" xfId="0" applyFont="1" applyFill="1" applyBorder="1" applyAlignment="1">
      <alignment vertical="center" wrapText="1"/>
    </xf>
    <xf numFmtId="6" fontId="4" fillId="20" borderId="39" xfId="0" applyNumberFormat="1" applyFont="1" applyFill="1" applyBorder="1" applyAlignment="1">
      <alignment horizontal="right" vertical="center" wrapText="1"/>
    </xf>
    <xf numFmtId="0" fontId="4" fillId="20" borderId="40" xfId="0" applyFont="1" applyFill="1" applyBorder="1" applyAlignment="1">
      <alignment horizontal="right" vertical="center" wrapText="1"/>
    </xf>
    <xf numFmtId="0" fontId="4" fillId="20" borderId="14" xfId="0" applyFont="1" applyFill="1" applyBorder="1" applyAlignment="1">
      <alignment vertical="center" wrapText="1"/>
    </xf>
    <xf numFmtId="0" fontId="4" fillId="20" borderId="0" xfId="0" applyFont="1" applyFill="1" applyAlignment="1">
      <alignment vertical="center" wrapText="1"/>
    </xf>
    <xf numFmtId="0" fontId="4" fillId="20" borderId="21" xfId="0" applyFont="1" applyFill="1" applyBorder="1" applyAlignment="1">
      <alignment horizontal="right" vertical="center" wrapText="1"/>
    </xf>
    <xf numFmtId="0" fontId="5" fillId="20" borderId="14" xfId="0" applyFont="1" applyFill="1" applyBorder="1" applyAlignment="1">
      <alignment vertical="center" wrapText="1"/>
    </xf>
    <xf numFmtId="0" fontId="5" fillId="20" borderId="0" xfId="0" applyFont="1" applyFill="1" applyAlignment="1">
      <alignment vertical="center" wrapText="1"/>
    </xf>
    <xf numFmtId="43" fontId="4" fillId="20" borderId="21" xfId="1" applyFont="1" applyFill="1" applyBorder="1" applyAlignment="1">
      <alignment horizontal="right" vertical="center" wrapText="1"/>
    </xf>
    <xf numFmtId="0" fontId="4" fillId="20" borderId="34" xfId="0" applyFont="1" applyFill="1" applyBorder="1" applyAlignment="1">
      <alignment vertical="center" wrapText="1"/>
    </xf>
    <xf numFmtId="0" fontId="4" fillId="20" borderId="35" xfId="0" applyFont="1" applyFill="1" applyBorder="1" applyAlignment="1">
      <alignment vertical="center" wrapText="1"/>
    </xf>
    <xf numFmtId="0" fontId="4" fillId="20" borderId="36" xfId="0" applyFont="1" applyFill="1" applyBorder="1" applyAlignment="1">
      <alignment horizontal="right" vertical="center" wrapText="1"/>
    </xf>
    <xf numFmtId="6" fontId="4" fillId="22" borderId="39" xfId="0" applyNumberFormat="1" applyFont="1" applyFill="1" applyBorder="1" applyAlignment="1">
      <alignment horizontal="right" vertical="center" wrapText="1"/>
    </xf>
    <xf numFmtId="0" fontId="4" fillId="22" borderId="40" xfId="0" applyFont="1" applyFill="1" applyBorder="1" applyAlignment="1">
      <alignment horizontal="right" vertical="center" wrapText="1"/>
    </xf>
    <xf numFmtId="0" fontId="4" fillId="22" borderId="14" xfId="0" applyFont="1" applyFill="1" applyBorder="1" applyAlignment="1">
      <alignment vertical="center" wrapText="1"/>
    </xf>
    <xf numFmtId="0" fontId="4" fillId="22" borderId="0" xfId="0" applyFont="1" applyFill="1" applyAlignment="1">
      <alignment vertical="center" wrapText="1"/>
    </xf>
    <xf numFmtId="6" fontId="4" fillId="22" borderId="0" xfId="0" applyNumberFormat="1" applyFont="1" applyFill="1" applyAlignment="1">
      <alignment horizontal="right" vertical="center" wrapText="1"/>
    </xf>
    <xf numFmtId="0" fontId="4" fillId="22" borderId="21" xfId="0" applyFont="1" applyFill="1" applyBorder="1" applyAlignment="1">
      <alignment horizontal="right" vertical="center" wrapText="1"/>
    </xf>
    <xf numFmtId="164" fontId="4" fillId="22" borderId="0" xfId="0" applyNumberFormat="1" applyFont="1" applyFill="1" applyAlignment="1">
      <alignment horizontal="right" vertical="center" wrapText="1"/>
    </xf>
    <xf numFmtId="0" fontId="5" fillId="22" borderId="14" xfId="0" applyFont="1" applyFill="1" applyBorder="1" applyAlignment="1">
      <alignment vertical="center" wrapText="1"/>
    </xf>
    <xf numFmtId="0" fontId="5" fillId="22" borderId="0" xfId="0" applyFont="1" applyFill="1" applyAlignment="1">
      <alignment vertical="center" wrapText="1"/>
    </xf>
    <xf numFmtId="165" fontId="4" fillId="22" borderId="0" xfId="1" applyNumberFormat="1" applyFont="1" applyFill="1" applyBorder="1" applyAlignment="1">
      <alignment horizontal="right" vertical="center" wrapText="1"/>
    </xf>
    <xf numFmtId="164" fontId="4" fillId="22" borderId="0" xfId="8" applyNumberFormat="1" applyFont="1" applyFill="1" applyBorder="1" applyAlignment="1">
      <alignment horizontal="right" vertical="center" wrapText="1"/>
    </xf>
    <xf numFmtId="0" fontId="4" fillId="22" borderId="34" xfId="0" applyFont="1" applyFill="1" applyBorder="1" applyAlignment="1">
      <alignment vertical="center" wrapText="1"/>
    </xf>
    <xf numFmtId="0" fontId="4" fillId="22" borderId="35" xfId="0" applyFont="1" applyFill="1" applyBorder="1" applyAlignment="1">
      <alignment vertical="center" wrapText="1"/>
    </xf>
    <xf numFmtId="164" fontId="4" fillId="22" borderId="35" xfId="0" applyNumberFormat="1" applyFont="1" applyFill="1" applyBorder="1" applyAlignment="1">
      <alignment horizontal="right" vertical="center" wrapText="1"/>
    </xf>
    <xf numFmtId="0" fontId="4" fillId="22" borderId="36" xfId="0" applyFont="1" applyFill="1" applyBorder="1" applyAlignment="1">
      <alignment horizontal="right" vertical="center" wrapText="1"/>
    </xf>
    <xf numFmtId="164" fontId="4" fillId="17" borderId="3" xfId="0" applyNumberFormat="1" applyFont="1" applyFill="1" applyBorder="1" applyAlignment="1">
      <alignment horizontal="right" vertical="center" wrapText="1"/>
    </xf>
    <xf numFmtId="164" fontId="4" fillId="17" borderId="4" xfId="0" applyNumberFormat="1" applyFont="1" applyFill="1" applyBorder="1" applyAlignment="1">
      <alignment horizontal="left" vertical="center" wrapText="1"/>
    </xf>
    <xf numFmtId="164" fontId="4" fillId="17" borderId="5" xfId="0" applyNumberFormat="1" applyFont="1" applyFill="1" applyBorder="1" applyAlignment="1">
      <alignment horizontal="right" vertical="center" wrapText="1"/>
    </xf>
    <xf numFmtId="164" fontId="4" fillId="17" borderId="7" xfId="0" applyNumberFormat="1" applyFont="1" applyFill="1" applyBorder="1" applyAlignment="1">
      <alignment horizontal="left" vertical="center" wrapText="1"/>
    </xf>
    <xf numFmtId="6" fontId="4" fillId="17" borderId="62" xfId="0" applyNumberFormat="1" applyFont="1" applyFill="1" applyBorder="1" applyAlignment="1">
      <alignment horizontal="right" vertical="center" wrapText="1"/>
    </xf>
    <xf numFmtId="6" fontId="4" fillId="17" borderId="63" xfId="0" applyNumberFormat="1" applyFont="1" applyFill="1" applyBorder="1" applyAlignment="1">
      <alignment horizontal="left" vertical="center" wrapText="1"/>
    </xf>
    <xf numFmtId="0" fontId="3" fillId="30" borderId="3" xfId="0" applyFont="1" applyFill="1" applyBorder="1"/>
    <xf numFmtId="0" fontId="12" fillId="30" borderId="0" xfId="0" applyFont="1" applyFill="1"/>
    <xf numFmtId="0" fontId="3" fillId="30" borderId="0" xfId="0" applyFont="1" applyFill="1"/>
    <xf numFmtId="0" fontId="3" fillId="30" borderId="4" xfId="0" applyFont="1" applyFill="1" applyBorder="1"/>
    <xf numFmtId="0" fontId="2" fillId="30" borderId="0" xfId="0" applyFont="1" applyFill="1" applyAlignment="1">
      <alignment vertical="center"/>
    </xf>
    <xf numFmtId="0" fontId="2" fillId="30" borderId="0" xfId="0" applyFont="1" applyFill="1" applyAlignment="1">
      <alignment horizontal="left" vertical="center"/>
    </xf>
    <xf numFmtId="0" fontId="2" fillId="30" borderId="0" xfId="0" applyFont="1" applyFill="1" applyAlignment="1">
      <alignment horizontal="left"/>
    </xf>
    <xf numFmtId="0" fontId="2" fillId="30" borderId="0" xfId="0" applyFont="1" applyFill="1" applyAlignment="1">
      <alignment wrapText="1"/>
    </xf>
    <xf numFmtId="0" fontId="31" fillId="30" borderId="0" xfId="0" applyFont="1" applyFill="1" applyAlignment="1">
      <alignment horizontal="right"/>
    </xf>
    <xf numFmtId="0" fontId="31" fillId="30" borderId="4" xfId="0" applyFont="1" applyFill="1" applyBorder="1" applyAlignment="1">
      <alignment horizontal="right"/>
    </xf>
    <xf numFmtId="0" fontId="2" fillId="30" borderId="0" xfId="0" applyFont="1" applyFill="1"/>
    <xf numFmtId="0" fontId="12" fillId="30" borderId="0" xfId="0" applyFont="1" applyFill="1" applyAlignment="1">
      <alignment vertical="center"/>
    </xf>
    <xf numFmtId="0" fontId="3" fillId="30" borderId="0" xfId="0" applyFont="1" applyFill="1" applyAlignment="1">
      <alignment vertical="center"/>
    </xf>
    <xf numFmtId="0" fontId="12" fillId="30" borderId="0" xfId="0" applyFont="1" applyFill="1" applyAlignment="1">
      <alignment vertical="top" wrapText="1"/>
    </xf>
    <xf numFmtId="0" fontId="2" fillId="30" borderId="0" xfId="0" applyFont="1" applyFill="1" applyAlignment="1">
      <alignment vertical="top" wrapText="1"/>
    </xf>
    <xf numFmtId="0" fontId="31" fillId="30" borderId="0" xfId="0" applyFont="1" applyFill="1" applyAlignment="1">
      <alignment vertical="top" wrapText="1"/>
    </xf>
    <xf numFmtId="0" fontId="2" fillId="30" borderId="0" xfId="0" applyFont="1" applyFill="1" applyAlignment="1">
      <alignment horizontal="right" vertical="center"/>
    </xf>
    <xf numFmtId="0" fontId="45" fillId="30" borderId="0" xfId="0" applyFont="1" applyFill="1" applyAlignment="1">
      <alignment vertical="top" wrapText="1"/>
    </xf>
    <xf numFmtId="0" fontId="65" fillId="30" borderId="3" xfId="0" applyFont="1" applyFill="1" applyBorder="1" applyAlignment="1">
      <alignment horizontal="left" vertical="center" wrapText="1"/>
    </xf>
    <xf numFmtId="0" fontId="66" fillId="30" borderId="0" xfId="0" applyFont="1" applyFill="1"/>
    <xf numFmtId="0" fontId="2" fillId="30" borderId="73" xfId="0" applyFont="1" applyFill="1" applyBorder="1"/>
    <xf numFmtId="0" fontId="3" fillId="30" borderId="73" xfId="0" applyFont="1" applyFill="1" applyBorder="1"/>
    <xf numFmtId="0" fontId="49" fillId="30" borderId="0" xfId="0" applyFont="1" applyFill="1"/>
    <xf numFmtId="0" fontId="2" fillId="30" borderId="3" xfId="0" applyFont="1" applyFill="1" applyBorder="1"/>
    <xf numFmtId="0" fontId="2" fillId="30" borderId="0" xfId="0" applyFont="1" applyFill="1" applyAlignment="1">
      <alignment horizontal="right"/>
    </xf>
    <xf numFmtId="0" fontId="3" fillId="30" borderId="5" xfId="0" applyFont="1" applyFill="1" applyBorder="1"/>
    <xf numFmtId="0" fontId="2" fillId="30" borderId="6" xfId="0" applyFont="1" applyFill="1" applyBorder="1"/>
    <xf numFmtId="0" fontId="3" fillId="30" borderId="6" xfId="0" applyFont="1" applyFill="1" applyBorder="1"/>
    <xf numFmtId="0" fontId="45" fillId="30" borderId="0" xfId="0" applyFont="1" applyFill="1" applyAlignment="1">
      <alignment horizontal="center"/>
    </xf>
    <xf numFmtId="0" fontId="39" fillId="30" borderId="0" xfId="0" applyFont="1" applyFill="1" applyAlignment="1">
      <alignment horizontal="right"/>
    </xf>
    <xf numFmtId="0" fontId="45" fillId="30" borderId="73" xfId="0" applyFont="1" applyFill="1" applyBorder="1" applyAlignment="1">
      <alignment horizontal="right"/>
    </xf>
    <xf numFmtId="0" fontId="39" fillId="30" borderId="73" xfId="0" applyFont="1" applyFill="1" applyBorder="1"/>
    <xf numFmtId="0" fontId="45" fillId="30" borderId="0" xfId="0" applyFont="1" applyFill="1" applyAlignment="1">
      <alignment horizontal="right"/>
    </xf>
    <xf numFmtId="0" fontId="39" fillId="30" borderId="0" xfId="0" applyFont="1" applyFill="1"/>
    <xf numFmtId="0" fontId="45" fillId="30" borderId="6" xfId="0" applyFont="1" applyFill="1" applyBorder="1" applyAlignment="1">
      <alignment horizontal="right"/>
    </xf>
    <xf numFmtId="0" fontId="39" fillId="30" borderId="6" xfId="0" applyFont="1" applyFill="1" applyBorder="1"/>
    <xf numFmtId="0" fontId="31" fillId="30" borderId="6" xfId="0" applyFont="1" applyFill="1" applyBorder="1" applyAlignment="1">
      <alignment horizontal="right"/>
    </xf>
    <xf numFmtId="0" fontId="31" fillId="30" borderId="7" xfId="0" applyFont="1" applyFill="1" applyBorder="1" applyAlignment="1">
      <alignment horizontal="right"/>
    </xf>
    <xf numFmtId="0" fontId="2" fillId="30" borderId="6" xfId="0" applyFont="1" applyFill="1" applyBorder="1" applyAlignment="1">
      <alignment vertical="center"/>
    </xf>
    <xf numFmtId="0" fontId="12" fillId="30" borderId="6" xfId="0" applyFont="1" applyFill="1" applyBorder="1" applyAlignment="1">
      <alignment vertical="center" wrapText="1"/>
    </xf>
    <xf numFmtId="0" fontId="4" fillId="30" borderId="6" xfId="0" applyFont="1" applyFill="1" applyBorder="1" applyAlignment="1">
      <alignment vertical="center" wrapText="1"/>
    </xf>
    <xf numFmtId="6" fontId="4" fillId="30" borderId="6" xfId="0" applyNumberFormat="1" applyFont="1" applyFill="1" applyBorder="1" applyAlignment="1">
      <alignment horizontal="right" vertical="center" wrapText="1"/>
    </xf>
    <xf numFmtId="0" fontId="3" fillId="30" borderId="7" xfId="0" applyFont="1" applyFill="1" applyBorder="1"/>
    <xf numFmtId="0" fontId="12" fillId="30" borderId="0" xfId="0" applyFont="1" applyFill="1" applyAlignment="1">
      <alignment vertical="center" wrapText="1"/>
    </xf>
    <xf numFmtId="6" fontId="12" fillId="30" borderId="0" xfId="0" applyNumberFormat="1" applyFont="1" applyFill="1" applyAlignment="1">
      <alignment horizontal="right" vertical="center" wrapText="1"/>
    </xf>
    <xf numFmtId="0" fontId="12" fillId="30" borderId="0" xfId="0" applyFont="1" applyFill="1" applyAlignment="1">
      <alignment horizontal="right" vertical="center" wrapText="1"/>
    </xf>
    <xf numFmtId="0" fontId="12" fillId="30" borderId="0" xfId="0" applyFont="1" applyFill="1" applyAlignment="1">
      <alignment horizontal="center"/>
    </xf>
    <xf numFmtId="0" fontId="3" fillId="30" borderId="1" xfId="0" applyFont="1" applyFill="1" applyBorder="1"/>
    <xf numFmtId="0" fontId="3" fillId="30" borderId="2" xfId="0" applyFont="1" applyFill="1" applyBorder="1"/>
    <xf numFmtId="0" fontId="4" fillId="30" borderId="4" xfId="0" applyFont="1" applyFill="1" applyBorder="1" applyAlignment="1">
      <alignment vertical="top"/>
    </xf>
    <xf numFmtId="0" fontId="3" fillId="30" borderId="4" xfId="0" applyFont="1" applyFill="1" applyBorder="1" applyAlignment="1">
      <alignment vertical="top"/>
    </xf>
    <xf numFmtId="0" fontId="4" fillId="30" borderId="3" xfId="0" applyFont="1" applyFill="1" applyBorder="1" applyAlignment="1">
      <alignment vertical="top"/>
    </xf>
    <xf numFmtId="0" fontId="3" fillId="30" borderId="3" xfId="0" applyFont="1" applyFill="1" applyBorder="1" applyAlignment="1">
      <alignment vertical="top"/>
    </xf>
    <xf numFmtId="0" fontId="4" fillId="30" borderId="0" xfId="0" applyFont="1" applyFill="1" applyAlignment="1">
      <alignment vertical="center" wrapText="1"/>
    </xf>
    <xf numFmtId="6" fontId="4" fillId="30" borderId="0" xfId="0" applyNumberFormat="1" applyFont="1" applyFill="1" applyAlignment="1">
      <alignment horizontal="right" vertical="center" wrapText="1"/>
    </xf>
    <xf numFmtId="0" fontId="4" fillId="30" borderId="0" xfId="0" applyFont="1" applyFill="1" applyAlignment="1">
      <alignment horizontal="right" vertical="center" wrapText="1"/>
    </xf>
    <xf numFmtId="1" fontId="71" fillId="30" borderId="8" xfId="0" applyNumberFormat="1" applyFont="1" applyFill="1" applyBorder="1" applyAlignment="1" applyProtection="1">
      <alignment horizontal="center"/>
      <protection locked="0"/>
    </xf>
    <xf numFmtId="1" fontId="71" fillId="30" borderId="0" xfId="0" applyNumberFormat="1" applyFont="1" applyFill="1" applyAlignment="1">
      <alignment horizontal="center"/>
    </xf>
    <xf numFmtId="0" fontId="0" fillId="15" borderId="12" xfId="1" applyNumberFormat="1" applyFont="1" applyFill="1" applyBorder="1" applyAlignment="1">
      <alignment horizontal="center"/>
    </xf>
    <xf numFmtId="0" fontId="0" fillId="15" borderId="48" xfId="1" applyNumberFormat="1" applyFont="1" applyFill="1" applyBorder="1" applyAlignment="1">
      <alignment horizontal="center"/>
    </xf>
    <xf numFmtId="0" fontId="0" fillId="31" borderId="34" xfId="0" applyFill="1" applyBorder="1"/>
    <xf numFmtId="0" fontId="0" fillId="15" borderId="38" xfId="0" applyFill="1" applyBorder="1"/>
    <xf numFmtId="0" fontId="0" fillId="15" borderId="34" xfId="0" applyFill="1" applyBorder="1"/>
    <xf numFmtId="0" fontId="0" fillId="15" borderId="13" xfId="1" applyNumberFormat="1" applyFont="1" applyFill="1" applyBorder="1" applyAlignment="1">
      <alignment horizontal="center"/>
    </xf>
    <xf numFmtId="0" fontId="0" fillId="15" borderId="25" xfId="1" applyNumberFormat="1" applyFont="1" applyFill="1" applyBorder="1" applyAlignment="1">
      <alignment horizontal="center"/>
    </xf>
    <xf numFmtId="0" fontId="0" fillId="20" borderId="35" xfId="0" applyFill="1" applyBorder="1" applyAlignment="1">
      <alignment horizontal="right"/>
    </xf>
    <xf numFmtId="0" fontId="0" fillId="31" borderId="35" xfId="0" applyFill="1" applyBorder="1" applyAlignment="1">
      <alignment horizontal="right"/>
    </xf>
    <xf numFmtId="0" fontId="0" fillId="15" borderId="30" xfId="0" applyFill="1" applyBorder="1" applyAlignment="1">
      <alignment horizontal="right"/>
    </xf>
    <xf numFmtId="2" fontId="0" fillId="20" borderId="48" xfId="0" applyNumberFormat="1" applyFill="1" applyBorder="1" applyAlignment="1">
      <alignment horizontal="center"/>
    </xf>
    <xf numFmtId="167" fontId="0" fillId="20" borderId="25" xfId="0" applyNumberFormat="1" applyFill="1" applyBorder="1" applyAlignment="1">
      <alignment horizontal="center"/>
    </xf>
    <xf numFmtId="0" fontId="72" fillId="31" borderId="38" xfId="0" applyFont="1" applyFill="1" applyBorder="1"/>
    <xf numFmtId="0" fontId="72" fillId="31" borderId="39" xfId="0" applyFont="1" applyFill="1" applyBorder="1"/>
    <xf numFmtId="0" fontId="0" fillId="15" borderId="39" xfId="1" applyNumberFormat="1" applyFont="1" applyFill="1" applyBorder="1" applyAlignment="1">
      <alignment horizontal="center"/>
    </xf>
    <xf numFmtId="0" fontId="0" fillId="15" borderId="35" xfId="1" applyNumberFormat="1" applyFont="1" applyFill="1" applyBorder="1" applyAlignment="1">
      <alignment horizontal="center"/>
    </xf>
    <xf numFmtId="0" fontId="0" fillId="15" borderId="15" xfId="1" applyNumberFormat="1" applyFont="1" applyFill="1" applyBorder="1" applyAlignment="1">
      <alignment horizontal="center"/>
    </xf>
    <xf numFmtId="0" fontId="0" fillId="15" borderId="9" xfId="1" applyNumberFormat="1" applyFont="1" applyFill="1" applyBorder="1" applyAlignment="1">
      <alignment horizontal="center"/>
    </xf>
    <xf numFmtId="176" fontId="71" fillId="30" borderId="78" xfId="1" applyNumberFormat="1" applyFont="1" applyFill="1" applyBorder="1" applyProtection="1">
      <protection locked="0"/>
    </xf>
    <xf numFmtId="0" fontId="3" fillId="30" borderId="0" xfId="0" applyFont="1" applyFill="1" applyAlignment="1">
      <alignment vertical="top" wrapText="1"/>
    </xf>
    <xf numFmtId="43" fontId="39" fillId="20" borderId="0" xfId="1" applyFont="1" applyFill="1" applyBorder="1" applyAlignment="1">
      <alignment horizontal="right" vertical="center" wrapText="1"/>
    </xf>
    <xf numFmtId="0" fontId="31" fillId="30" borderId="73" xfId="0" applyFont="1" applyFill="1" applyBorder="1" applyAlignment="1">
      <alignment horizontal="left" vertical="center" wrapText="1"/>
    </xf>
    <xf numFmtId="0" fontId="30" fillId="29" borderId="50" xfId="0" applyFont="1" applyFill="1" applyBorder="1"/>
    <xf numFmtId="0" fontId="54" fillId="19" borderId="64" xfId="0" applyFont="1" applyFill="1" applyBorder="1" applyAlignment="1">
      <alignment horizontal="center" vertical="center" wrapText="1"/>
    </xf>
    <xf numFmtId="0" fontId="0" fillId="14" borderId="8" xfId="0" applyFill="1" applyBorder="1"/>
    <xf numFmtId="2" fontId="0" fillId="14" borderId="8" xfId="0" applyNumberFormat="1" applyFill="1" applyBorder="1"/>
    <xf numFmtId="2" fontId="0" fillId="17" borderId="8" xfId="0" applyNumberFormat="1" applyFill="1" applyBorder="1"/>
    <xf numFmtId="0" fontId="0" fillId="17" borderId="8" xfId="0" applyFill="1" applyBorder="1"/>
    <xf numFmtId="2" fontId="0" fillId="17" borderId="16" xfId="0" applyNumberFormat="1" applyFill="1" applyBorder="1"/>
    <xf numFmtId="2" fontId="0" fillId="17" borderId="48" xfId="0" applyNumberFormat="1" applyFill="1" applyBorder="1"/>
    <xf numFmtId="0" fontId="0" fillId="17" borderId="25" xfId="0" applyFill="1" applyBorder="1"/>
    <xf numFmtId="2" fontId="0" fillId="17" borderId="25" xfId="0" applyNumberFormat="1" applyFill="1" applyBorder="1"/>
    <xf numFmtId="1" fontId="0" fillId="15" borderId="38" xfId="0" applyNumberFormat="1" applyFill="1" applyBorder="1" applyAlignment="1">
      <alignment horizontal="center"/>
    </xf>
    <xf numFmtId="2" fontId="0" fillId="17" borderId="15" xfId="0" applyNumberFormat="1" applyFill="1" applyBorder="1"/>
    <xf numFmtId="0" fontId="0" fillId="17" borderId="9" xfId="0" applyFill="1" applyBorder="1"/>
    <xf numFmtId="2" fontId="0" fillId="17" borderId="9" xfId="0" applyNumberFormat="1" applyFill="1" applyBorder="1"/>
    <xf numFmtId="2" fontId="0" fillId="17" borderId="12" xfId="0" applyNumberFormat="1" applyFill="1" applyBorder="1"/>
    <xf numFmtId="0" fontId="0" fillId="17" borderId="13" xfId="0" applyFill="1" applyBorder="1"/>
    <xf numFmtId="2" fontId="0" fillId="17" borderId="13" xfId="0" applyNumberFormat="1" applyFill="1" applyBorder="1"/>
    <xf numFmtId="2" fontId="0" fillId="6" borderId="16" xfId="0" applyNumberFormat="1" applyFill="1" applyBorder="1"/>
    <xf numFmtId="2" fontId="0" fillId="22" borderId="16" xfId="0" applyNumberFormat="1" applyFill="1" applyBorder="1"/>
    <xf numFmtId="2" fontId="0" fillId="22" borderId="48" xfId="0" applyNumberFormat="1" applyFill="1" applyBorder="1"/>
    <xf numFmtId="0" fontId="0" fillId="14" borderId="25" xfId="0" applyFill="1" applyBorder="1"/>
    <xf numFmtId="2" fontId="0" fillId="14" borderId="25" xfId="0" applyNumberFormat="1" applyFill="1" applyBorder="1"/>
    <xf numFmtId="49" fontId="1" fillId="14" borderId="11" xfId="0" applyNumberFormat="1" applyFont="1" applyFill="1" applyBorder="1" applyAlignment="1">
      <alignment horizontal="right" vertical="center"/>
    </xf>
    <xf numFmtId="49" fontId="1" fillId="16" borderId="11" xfId="0" applyNumberFormat="1" applyFont="1" applyFill="1" applyBorder="1" applyAlignment="1">
      <alignment horizontal="right" vertical="center"/>
    </xf>
    <xf numFmtId="43" fontId="1" fillId="16" borderId="22" xfId="1" applyFont="1" applyFill="1" applyBorder="1" applyAlignment="1">
      <alignment horizontal="center" vertical="center"/>
    </xf>
    <xf numFmtId="1" fontId="1" fillId="16" borderId="22" xfId="0" applyNumberFormat="1" applyFont="1" applyFill="1" applyBorder="1" applyAlignment="1">
      <alignment horizontal="center" vertical="center"/>
    </xf>
    <xf numFmtId="177" fontId="29" fillId="0" borderId="0" xfId="0" applyNumberFormat="1" applyFont="1"/>
    <xf numFmtId="167" fontId="1" fillId="14" borderId="22" xfId="0" applyNumberFormat="1" applyFont="1" applyFill="1" applyBorder="1" applyAlignment="1">
      <alignment horizontal="center" vertical="center"/>
    </xf>
    <xf numFmtId="0" fontId="5" fillId="20" borderId="14" xfId="0" applyFont="1" applyFill="1" applyBorder="1" applyAlignment="1">
      <alignment horizontal="left" vertical="center" wrapText="1"/>
    </xf>
    <xf numFmtId="0" fontId="5" fillId="20" borderId="0" xfId="0" applyFont="1" applyFill="1" applyAlignment="1">
      <alignment horizontal="left" vertical="center" wrapText="1"/>
    </xf>
    <xf numFmtId="43" fontId="74" fillId="0" borderId="8" xfId="1" applyFont="1" applyFill="1" applyBorder="1" applyAlignment="1" applyProtection="1">
      <alignment horizontal="center" vertical="center"/>
      <protection locked="0"/>
    </xf>
    <xf numFmtId="1" fontId="75" fillId="30" borderId="4" xfId="0" applyNumberFormat="1" applyFont="1" applyFill="1" applyBorder="1" applyAlignment="1">
      <alignment horizontal="center"/>
    </xf>
    <xf numFmtId="165" fontId="4" fillId="20" borderId="14" xfId="1" applyNumberFormat="1" applyFont="1" applyFill="1" applyBorder="1" applyAlignment="1">
      <alignment horizontal="right" vertical="center" wrapText="1"/>
    </xf>
    <xf numFmtId="0" fontId="76" fillId="8" borderId="0" xfId="0" applyFont="1" applyFill="1"/>
    <xf numFmtId="49" fontId="76" fillId="8" borderId="0" xfId="0" applyNumberFormat="1" applyFont="1" applyFill="1"/>
    <xf numFmtId="164" fontId="12" fillId="19" borderId="0" xfId="8" applyNumberFormat="1" applyFont="1" applyFill="1" applyBorder="1" applyAlignment="1">
      <alignment horizontal="right"/>
    </xf>
    <xf numFmtId="164" fontId="12" fillId="19" borderId="21" xfId="8" applyNumberFormat="1" applyFont="1" applyFill="1" applyBorder="1" applyAlignment="1">
      <alignment horizontal="right"/>
    </xf>
    <xf numFmtId="0" fontId="12" fillId="19" borderId="14" xfId="0" applyFont="1" applyFill="1" applyBorder="1" applyAlignment="1">
      <alignment horizontal="left" wrapText="1"/>
    </xf>
    <xf numFmtId="0" fontId="12" fillId="19" borderId="0" xfId="0" applyFont="1" applyFill="1" applyAlignment="1">
      <alignment horizontal="left" wrapText="1"/>
    </xf>
    <xf numFmtId="0" fontId="78" fillId="30" borderId="0" xfId="0" applyFont="1" applyFill="1" applyAlignment="1">
      <alignment horizontal="center" vertical="center"/>
    </xf>
    <xf numFmtId="0" fontId="77" fillId="30" borderId="0" xfId="0" applyFont="1" applyFill="1"/>
    <xf numFmtId="0" fontId="71" fillId="30" borderId="0" xfId="0" applyFont="1" applyFill="1" applyAlignment="1">
      <alignment horizontal="right" vertical="center"/>
    </xf>
    <xf numFmtId="2" fontId="61" fillId="0" borderId="8" xfId="1" applyNumberFormat="1" applyFont="1" applyFill="1" applyBorder="1" applyAlignment="1" applyProtection="1">
      <alignment horizontal="center" vertical="center"/>
      <protection locked="0"/>
    </xf>
    <xf numFmtId="0" fontId="4" fillId="17" borderId="14" xfId="0" applyFont="1" applyFill="1" applyBorder="1" applyAlignment="1">
      <alignment vertical="center" wrapText="1"/>
    </xf>
    <xf numFmtId="0" fontId="54" fillId="19" borderId="60" xfId="0" applyFont="1" applyFill="1" applyBorder="1" applyAlignment="1">
      <alignment horizontal="center" vertical="center" wrapText="1"/>
    </xf>
    <xf numFmtId="0" fontId="1" fillId="16" borderId="27" xfId="0" applyFont="1" applyFill="1" applyBorder="1" applyAlignment="1">
      <alignment horizontal="center" vertical="center"/>
    </xf>
    <xf numFmtId="0" fontId="1" fillId="16" borderId="31" xfId="0" applyFont="1" applyFill="1" applyBorder="1" applyAlignment="1">
      <alignment horizontal="center" vertical="center"/>
    </xf>
    <xf numFmtId="0" fontId="1" fillId="16" borderId="33" xfId="0" applyFont="1" applyFill="1" applyBorder="1" applyAlignment="1">
      <alignment horizontal="center" vertical="center"/>
    </xf>
    <xf numFmtId="0" fontId="54" fillId="19" borderId="79" xfId="0" applyFont="1" applyFill="1" applyBorder="1" applyAlignment="1">
      <alignment horizontal="center" vertical="center" wrapText="1"/>
    </xf>
    <xf numFmtId="49" fontId="1" fillId="6" borderId="29" xfId="5" applyNumberFormat="1" applyFill="1" applyBorder="1" applyAlignment="1">
      <alignment horizontal="left" vertical="center"/>
    </xf>
    <xf numFmtId="49" fontId="1" fillId="6" borderId="5" xfId="5" applyNumberFormat="1" applyFill="1" applyBorder="1" applyAlignment="1">
      <alignment horizontal="left" vertical="center"/>
    </xf>
    <xf numFmtId="49" fontId="1" fillId="6" borderId="30" xfId="5" applyNumberFormat="1" applyFill="1" applyBorder="1" applyAlignment="1">
      <alignment horizontal="left" vertical="center"/>
    </xf>
    <xf numFmtId="0" fontId="53" fillId="20" borderId="12" xfId="0" applyFont="1" applyFill="1" applyBorder="1" applyAlignment="1">
      <alignment horizontal="center" vertical="center" wrapText="1"/>
    </xf>
    <xf numFmtId="0" fontId="53" fillId="20" borderId="13" xfId="0" applyFont="1" applyFill="1" applyBorder="1" applyAlignment="1">
      <alignment horizontal="center" vertical="center" wrapText="1"/>
    </xf>
    <xf numFmtId="0" fontId="53" fillId="20" borderId="47" xfId="0" applyFont="1" applyFill="1" applyBorder="1" applyAlignment="1">
      <alignment horizontal="center" vertical="center" wrapText="1"/>
    </xf>
    <xf numFmtId="0" fontId="53" fillId="20" borderId="16" xfId="0" applyFont="1" applyFill="1" applyBorder="1" applyAlignment="1">
      <alignment horizontal="center" vertical="center" wrapText="1"/>
    </xf>
    <xf numFmtId="0" fontId="53" fillId="20" borderId="55" xfId="0" applyFont="1" applyFill="1" applyBorder="1" applyAlignment="1">
      <alignment horizontal="center" vertical="center" wrapText="1"/>
    </xf>
    <xf numFmtId="0" fontId="53" fillId="20" borderId="48" xfId="0" applyFont="1" applyFill="1" applyBorder="1" applyAlignment="1">
      <alignment horizontal="center" vertical="center" wrapText="1"/>
    </xf>
    <xf numFmtId="0" fontId="53" fillId="20" borderId="25" xfId="0" applyFont="1" applyFill="1" applyBorder="1" applyAlignment="1">
      <alignment horizontal="center" vertical="center" wrapText="1"/>
    </xf>
    <xf numFmtId="0" fontId="53" fillId="20" borderId="56" xfId="0" applyFont="1" applyFill="1" applyBorder="1" applyAlignment="1">
      <alignment horizontal="center" vertical="center" wrapText="1"/>
    </xf>
    <xf numFmtId="49" fontId="1" fillId="6" borderId="3" xfId="5" applyNumberFormat="1" applyFill="1" applyBorder="1" applyAlignment="1">
      <alignment horizontal="left" vertical="center"/>
    </xf>
    <xf numFmtId="49" fontId="1" fillId="6" borderId="27" xfId="5" applyNumberFormat="1" applyFill="1" applyBorder="1" applyAlignment="1">
      <alignment horizontal="left" vertical="center" wrapText="1"/>
    </xf>
    <xf numFmtId="0" fontId="1" fillId="6" borderId="31" xfId="0" applyFont="1" applyFill="1" applyBorder="1" applyAlignment="1">
      <alignment vertical="center" wrapText="1"/>
    </xf>
    <xf numFmtId="0" fontId="1" fillId="6" borderId="33" xfId="0" applyFont="1" applyFill="1" applyBorder="1" applyAlignment="1">
      <alignment vertical="center" wrapText="1"/>
    </xf>
    <xf numFmtId="0" fontId="0" fillId="32" borderId="0" xfId="0" applyFill="1"/>
    <xf numFmtId="0" fontId="0" fillId="20" borderId="53" xfId="0" applyFill="1" applyBorder="1"/>
    <xf numFmtId="0" fontId="30" fillId="20" borderId="27" xfId="0" applyFont="1" applyFill="1" applyBorder="1" applyAlignment="1">
      <alignment horizontal="center"/>
    </xf>
    <xf numFmtId="0" fontId="0" fillId="33" borderId="0" xfId="0" applyFill="1"/>
    <xf numFmtId="0" fontId="30" fillId="20" borderId="8" xfId="0" applyFont="1" applyFill="1" applyBorder="1"/>
    <xf numFmtId="0" fontId="23" fillId="20" borderId="8" xfId="0" applyFont="1" applyFill="1" applyBorder="1"/>
    <xf numFmtId="178" fontId="1" fillId="20" borderId="8" xfId="0" applyNumberFormat="1" applyFont="1" applyFill="1" applyBorder="1" applyAlignment="1">
      <alignment horizontal="right"/>
    </xf>
    <xf numFmtId="44" fontId="19" fillId="20" borderId="8" xfId="8" applyFont="1" applyFill="1" applyBorder="1" applyAlignment="1" applyProtection="1">
      <alignment horizontal="right"/>
      <protection locked="0"/>
    </xf>
    <xf numFmtId="44" fontId="26" fillId="20" borderId="8" xfId="8" applyFont="1" applyFill="1" applyBorder="1"/>
    <xf numFmtId="1" fontId="0" fillId="20" borderId="8" xfId="0" applyNumberFormat="1" applyFill="1" applyBorder="1"/>
    <xf numFmtId="178" fontId="19" fillId="20" borderId="8" xfId="0" applyNumberFormat="1" applyFont="1" applyFill="1" applyBorder="1" applyAlignment="1" applyProtection="1">
      <alignment horizontal="right"/>
      <protection locked="0"/>
    </xf>
    <xf numFmtId="6" fontId="0" fillId="20" borderId="8" xfId="0" applyNumberFormat="1" applyFill="1" applyBorder="1"/>
    <xf numFmtId="178" fontId="19" fillId="20" borderId="8" xfId="0" applyNumberFormat="1" applyFont="1" applyFill="1" applyBorder="1" applyAlignment="1">
      <alignment horizontal="right"/>
    </xf>
    <xf numFmtId="0" fontId="1" fillId="20" borderId="8" xfId="0" applyFont="1" applyFill="1" applyBorder="1" applyAlignment="1">
      <alignment horizontal="right"/>
    </xf>
    <xf numFmtId="0" fontId="3" fillId="33" borderId="0" xfId="0" applyFont="1" applyFill="1" applyAlignment="1">
      <alignment vertical="top"/>
    </xf>
    <xf numFmtId="0" fontId="0" fillId="13" borderId="0" xfId="0" applyFill="1"/>
    <xf numFmtId="0" fontId="30" fillId="19" borderId="8" xfId="0" applyFont="1" applyFill="1" applyBorder="1"/>
    <xf numFmtId="0" fontId="0" fillId="19" borderId="8" xfId="0" applyFill="1" applyBorder="1"/>
    <xf numFmtId="0" fontId="0" fillId="19" borderId="0" xfId="0" applyFill="1"/>
    <xf numFmtId="0" fontId="23" fillId="19" borderId="8" xfId="0" applyFont="1" applyFill="1" applyBorder="1"/>
    <xf numFmtId="178" fontId="1" fillId="19" borderId="8" xfId="0" applyNumberFormat="1" applyFont="1" applyFill="1" applyBorder="1" applyAlignment="1">
      <alignment horizontal="right"/>
    </xf>
    <xf numFmtId="178" fontId="19" fillId="19" borderId="8" xfId="0" applyNumberFormat="1" applyFont="1" applyFill="1" applyBorder="1" applyAlignment="1" applyProtection="1">
      <alignment horizontal="right"/>
      <protection locked="0"/>
    </xf>
    <xf numFmtId="6" fontId="0" fillId="19" borderId="8" xfId="0" applyNumberFormat="1" applyFill="1" applyBorder="1"/>
    <xf numFmtId="44" fontId="26" fillId="19" borderId="8" xfId="8" applyFont="1" applyFill="1" applyBorder="1"/>
    <xf numFmtId="44" fontId="19" fillId="19" borderId="8" xfId="8" applyFont="1" applyFill="1" applyBorder="1" applyAlignment="1" applyProtection="1">
      <alignment horizontal="right"/>
      <protection locked="0"/>
    </xf>
    <xf numFmtId="1" fontId="0" fillId="19" borderId="8" xfId="0" applyNumberFormat="1" applyFill="1" applyBorder="1"/>
    <xf numFmtId="178" fontId="19" fillId="19" borderId="8" xfId="0" applyNumberFormat="1" applyFont="1" applyFill="1" applyBorder="1" applyAlignment="1">
      <alignment horizontal="right"/>
    </xf>
    <xf numFmtId="0" fontId="1" fillId="19" borderId="8" xfId="0" applyFont="1" applyFill="1" applyBorder="1" applyAlignment="1">
      <alignment horizontal="right"/>
    </xf>
    <xf numFmtId="0" fontId="3" fillId="13" borderId="0" xfId="0" applyFont="1" applyFill="1" applyAlignment="1">
      <alignment vertical="top"/>
    </xf>
    <xf numFmtId="0" fontId="23" fillId="8" borderId="0" xfId="0" applyFont="1" applyFill="1"/>
    <xf numFmtId="178" fontId="19" fillId="8" borderId="0" xfId="0" applyNumberFormat="1" applyFont="1" applyFill="1" applyAlignment="1">
      <alignment horizontal="right"/>
    </xf>
    <xf numFmtId="0" fontId="1" fillId="8" borderId="0" xfId="0" applyFont="1" applyFill="1" applyAlignment="1">
      <alignment horizontal="right"/>
    </xf>
    <xf numFmtId="3" fontId="19" fillId="8" borderId="0" xfId="0" applyNumberFormat="1" applyFont="1" applyFill="1"/>
    <xf numFmtId="44" fontId="26" fillId="8" borderId="0" xfId="8" applyFont="1" applyFill="1"/>
    <xf numFmtId="0" fontId="0" fillId="34" borderId="0" xfId="0" applyFill="1"/>
    <xf numFmtId="0" fontId="30" fillId="35" borderId="8" xfId="0" applyFont="1" applyFill="1" applyBorder="1"/>
    <xf numFmtId="0" fontId="0" fillId="35" borderId="8" xfId="0" applyFill="1" applyBorder="1"/>
    <xf numFmtId="0" fontId="0" fillId="35" borderId="0" xfId="0" applyFill="1"/>
    <xf numFmtId="0" fontId="23" fillId="35" borderId="8" xfId="0" applyFont="1" applyFill="1" applyBorder="1"/>
    <xf numFmtId="178" fontId="1" fillId="35" borderId="8" xfId="0" applyNumberFormat="1" applyFont="1" applyFill="1" applyBorder="1" applyAlignment="1">
      <alignment horizontal="right"/>
    </xf>
    <xf numFmtId="178" fontId="19" fillId="35" borderId="8" xfId="0" applyNumberFormat="1" applyFont="1" applyFill="1" applyBorder="1" applyAlignment="1" applyProtection="1">
      <alignment horizontal="right"/>
      <protection locked="0"/>
    </xf>
    <xf numFmtId="6" fontId="0" fillId="35" borderId="8" xfId="0" applyNumberFormat="1" applyFill="1" applyBorder="1"/>
    <xf numFmtId="44" fontId="26" fillId="35" borderId="8" xfId="8" applyFont="1" applyFill="1" applyBorder="1"/>
    <xf numFmtId="44" fontId="19" fillId="35" borderId="8" xfId="8" applyFont="1" applyFill="1" applyBorder="1" applyAlignment="1" applyProtection="1">
      <alignment horizontal="right"/>
      <protection locked="0"/>
    </xf>
    <xf numFmtId="1" fontId="0" fillId="35" borderId="8" xfId="0" applyNumberFormat="1" applyFill="1" applyBorder="1"/>
    <xf numFmtId="178" fontId="19" fillId="35" borderId="8" xfId="0" applyNumberFormat="1" applyFont="1" applyFill="1" applyBorder="1" applyAlignment="1">
      <alignment horizontal="right"/>
    </xf>
    <xf numFmtId="0" fontId="1" fillId="35" borderId="8" xfId="0" applyFont="1" applyFill="1" applyBorder="1" applyAlignment="1">
      <alignment horizontal="right"/>
    </xf>
    <xf numFmtId="0" fontId="3" fillId="34" borderId="0" xfId="0" applyFont="1" applyFill="1" applyAlignment="1">
      <alignment vertical="top"/>
    </xf>
    <xf numFmtId="0" fontId="0" fillId="36" borderId="0" xfId="0" applyFill="1"/>
    <xf numFmtId="44" fontId="4" fillId="20" borderId="0" xfId="3" applyNumberFormat="1" applyFont="1" applyFill="1" applyBorder="1" applyAlignment="1">
      <alignment horizontal="right" vertical="center" wrapText="1"/>
    </xf>
    <xf numFmtId="2" fontId="0" fillId="17" borderId="29" xfId="0" applyNumberFormat="1" applyFill="1" applyBorder="1"/>
    <xf numFmtId="2" fontId="0" fillId="14" borderId="37" xfId="0" applyNumberFormat="1" applyFill="1" applyBorder="1"/>
    <xf numFmtId="2" fontId="0" fillId="17" borderId="37" xfId="0" applyNumberFormat="1" applyFill="1" applyBorder="1"/>
    <xf numFmtId="2" fontId="0" fillId="14" borderId="83" xfId="0" applyNumberFormat="1" applyFill="1" applyBorder="1"/>
    <xf numFmtId="2" fontId="0" fillId="17" borderId="83" xfId="0" applyNumberFormat="1" applyFill="1" applyBorder="1"/>
    <xf numFmtId="2" fontId="0" fillId="17" borderId="5" xfId="0" applyNumberFormat="1" applyFill="1" applyBorder="1"/>
    <xf numFmtId="0" fontId="32" fillId="0" borderId="0" xfId="0" applyFont="1"/>
    <xf numFmtId="0" fontId="32" fillId="8" borderId="0" xfId="0" applyFont="1" applyFill="1"/>
    <xf numFmtId="49" fontId="32" fillId="8" borderId="0" xfId="0" applyNumberFormat="1" applyFont="1" applyFill="1"/>
    <xf numFmtId="49" fontId="32" fillId="0" borderId="0" xfId="0" applyNumberFormat="1" applyFont="1"/>
    <xf numFmtId="1" fontId="1" fillId="7" borderId="0" xfId="0" applyNumberFormat="1" applyFont="1" applyFill="1" applyAlignment="1">
      <alignment horizontal="center" vertical="center"/>
    </xf>
    <xf numFmtId="1" fontId="3" fillId="13" borderId="57" xfId="0" applyNumberFormat="1" applyFont="1" applyFill="1" applyBorder="1" applyAlignment="1">
      <alignment horizontal="center" vertical="center"/>
    </xf>
    <xf numFmtId="1" fontId="3" fillId="13" borderId="58" xfId="0" applyNumberFormat="1" applyFont="1" applyFill="1" applyBorder="1" applyAlignment="1">
      <alignment horizontal="center" vertical="center"/>
    </xf>
    <xf numFmtId="1" fontId="1" fillId="7" borderId="58" xfId="0" applyNumberFormat="1" applyFont="1" applyFill="1" applyBorder="1" applyAlignment="1">
      <alignment horizontal="center" vertical="center"/>
    </xf>
    <xf numFmtId="0" fontId="1" fillId="16" borderId="82" xfId="0" applyFont="1" applyFill="1" applyBorder="1" applyAlignment="1">
      <alignment horizontal="center" vertical="center"/>
    </xf>
    <xf numFmtId="1" fontId="1" fillId="7" borderId="6" xfId="5" applyNumberFormat="1" applyFill="1" applyBorder="1" applyAlignment="1">
      <alignment horizontal="center" vertical="center" wrapText="1"/>
    </xf>
    <xf numFmtId="1" fontId="3" fillId="13" borderId="15" xfId="5" applyNumberFormat="1" applyFont="1" applyFill="1" applyBorder="1" applyAlignment="1">
      <alignment horizontal="center" vertical="center" wrapText="1"/>
    </xf>
    <xf numFmtId="1" fontId="3" fillId="13" borderId="9" xfId="5" applyNumberFormat="1" applyFont="1" applyFill="1" applyBorder="1" applyAlignment="1">
      <alignment horizontal="center" vertical="center" wrapText="1"/>
    </xf>
    <xf numFmtId="49" fontId="1" fillId="6" borderId="12" xfId="0" applyNumberFormat="1" applyFont="1" applyFill="1" applyBorder="1" applyAlignment="1">
      <alignment horizontal="right" vertical="center"/>
    </xf>
    <xf numFmtId="1" fontId="1" fillId="7" borderId="42" xfId="0" applyNumberFormat="1" applyFont="1" applyFill="1" applyBorder="1" applyAlignment="1">
      <alignment horizontal="center" vertical="center"/>
    </xf>
    <xf numFmtId="1" fontId="3" fillId="13" borderId="12" xfId="0" applyNumberFormat="1" applyFont="1" applyFill="1" applyBorder="1" applyAlignment="1">
      <alignment horizontal="center" vertical="center"/>
    </xf>
    <xf numFmtId="1" fontId="3" fillId="13" borderId="13" xfId="0" applyNumberFormat="1" applyFont="1" applyFill="1" applyBorder="1" applyAlignment="1">
      <alignment horizontal="center" vertical="center"/>
    </xf>
    <xf numFmtId="1" fontId="1" fillId="7" borderId="13" xfId="0" applyNumberFormat="1" applyFont="1" applyFill="1" applyBorder="1" applyAlignment="1">
      <alignment horizontal="center" vertical="center"/>
    </xf>
    <xf numFmtId="0" fontId="1" fillId="15" borderId="18" xfId="0" applyFont="1" applyFill="1" applyBorder="1" applyAlignment="1">
      <alignment horizontal="center" vertical="center"/>
    </xf>
    <xf numFmtId="0" fontId="1" fillId="14" borderId="33" xfId="0" applyFont="1" applyFill="1" applyBorder="1" applyAlignment="1">
      <alignment horizontal="center" vertical="center"/>
    </xf>
    <xf numFmtId="1" fontId="1" fillId="7" borderId="35" xfId="0" applyNumberFormat="1" applyFont="1" applyFill="1" applyBorder="1" applyAlignment="1">
      <alignment horizontal="center" vertical="center"/>
    </xf>
    <xf numFmtId="1" fontId="3" fillId="13" borderId="17" xfId="0" applyNumberFormat="1" applyFont="1" applyFill="1" applyBorder="1" applyAlignment="1">
      <alignment horizontal="center" vertical="center"/>
    </xf>
    <xf numFmtId="1" fontId="3" fillId="13" borderId="18" xfId="0" applyNumberFormat="1" applyFont="1" applyFill="1" applyBorder="1" applyAlignment="1">
      <alignment horizontal="center" vertical="center"/>
    </xf>
    <xf numFmtId="1" fontId="1" fillId="7" borderId="18" xfId="0" applyNumberFormat="1" applyFont="1" applyFill="1" applyBorder="1" applyAlignment="1">
      <alignment horizontal="center" vertical="center"/>
    </xf>
    <xf numFmtId="0" fontId="1" fillId="16" borderId="84" xfId="0" applyFont="1" applyFill="1" applyBorder="1" applyAlignment="1">
      <alignment horizontal="center" vertical="center"/>
    </xf>
    <xf numFmtId="0" fontId="1" fillId="6" borderId="13" xfId="0" applyFont="1" applyFill="1" applyBorder="1" applyAlignment="1">
      <alignment vertical="center" wrapText="1"/>
    </xf>
    <xf numFmtId="0" fontId="1" fillId="15" borderId="13" xfId="0" applyFont="1" applyFill="1" applyBorder="1" applyAlignment="1">
      <alignment horizontal="center" vertical="center"/>
    </xf>
    <xf numFmtId="49" fontId="1" fillId="6" borderId="48" xfId="0" applyNumberFormat="1" applyFont="1" applyFill="1" applyBorder="1" applyAlignment="1">
      <alignment horizontal="right" vertical="center"/>
    </xf>
    <xf numFmtId="0" fontId="1" fillId="6" borderId="25" xfId="0" applyFont="1" applyFill="1" applyBorder="1" applyAlignment="1">
      <alignment vertical="center" wrapText="1"/>
    </xf>
    <xf numFmtId="0" fontId="1" fillId="15" borderId="12"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29" xfId="0" applyFont="1" applyFill="1" applyBorder="1" applyAlignment="1">
      <alignment horizontal="center" vertical="center"/>
    </xf>
    <xf numFmtId="0" fontId="1" fillId="14" borderId="27" xfId="0" applyFont="1" applyFill="1" applyBorder="1" applyAlignment="1">
      <alignment horizontal="center" vertical="center"/>
    </xf>
    <xf numFmtId="0" fontId="1" fillId="15" borderId="16" xfId="0" applyFont="1" applyFill="1" applyBorder="1" applyAlignment="1">
      <alignment horizontal="center" vertical="center"/>
    </xf>
    <xf numFmtId="0" fontId="1" fillId="15" borderId="17" xfId="0" applyFont="1" applyFill="1" applyBorder="1" applyAlignment="1">
      <alignment horizontal="center" vertical="center"/>
    </xf>
    <xf numFmtId="0" fontId="0" fillId="20" borderId="52" xfId="0" applyFill="1" applyBorder="1" applyAlignment="1">
      <alignment wrapText="1"/>
    </xf>
    <xf numFmtId="0" fontId="81" fillId="20" borderId="54" xfId="0" applyFont="1" applyFill="1" applyBorder="1" applyAlignment="1">
      <alignment wrapText="1"/>
    </xf>
    <xf numFmtId="0" fontId="81" fillId="20" borderId="52" xfId="0" applyFont="1" applyFill="1" applyBorder="1" applyAlignment="1">
      <alignment wrapText="1"/>
    </xf>
    <xf numFmtId="0" fontId="82" fillId="30" borderId="0" xfId="0" applyFont="1" applyFill="1"/>
    <xf numFmtId="0" fontId="30" fillId="20" borderId="79" xfId="0" applyFont="1" applyFill="1" applyBorder="1"/>
    <xf numFmtId="0" fontId="30" fillId="20" borderId="42" xfId="0" applyFont="1" applyFill="1" applyBorder="1"/>
    <xf numFmtId="0" fontId="30" fillId="20" borderId="80" xfId="0" applyFont="1" applyFill="1" applyBorder="1"/>
    <xf numFmtId="0" fontId="0" fillId="20" borderId="27" xfId="0" applyFill="1" applyBorder="1" applyAlignment="1">
      <alignment horizontal="center"/>
    </xf>
    <xf numFmtId="0" fontId="30" fillId="37" borderId="8" xfId="0" applyFont="1" applyFill="1" applyBorder="1"/>
    <xf numFmtId="0" fontId="0" fillId="37" borderId="8" xfId="0" applyFill="1" applyBorder="1"/>
    <xf numFmtId="0" fontId="0" fillId="37" borderId="0" xfId="0" applyFill="1"/>
    <xf numFmtId="0" fontId="23" fillId="37" borderId="8" xfId="0" applyFont="1" applyFill="1" applyBorder="1"/>
    <xf numFmtId="178" fontId="1" fillId="37" borderId="8" xfId="0" applyNumberFormat="1" applyFont="1" applyFill="1" applyBorder="1" applyAlignment="1">
      <alignment horizontal="right"/>
    </xf>
    <xf numFmtId="178" fontId="19" fillId="37" borderId="8" xfId="0" applyNumberFormat="1" applyFont="1" applyFill="1" applyBorder="1" applyAlignment="1" applyProtection="1">
      <alignment horizontal="right"/>
      <protection locked="0"/>
    </xf>
    <xf numFmtId="6" fontId="0" fillId="37" borderId="8" xfId="0" applyNumberFormat="1" applyFill="1" applyBorder="1"/>
    <xf numFmtId="44" fontId="26" fillId="37" borderId="8" xfId="8" applyFont="1" applyFill="1" applyBorder="1"/>
    <xf numFmtId="44" fontId="19" fillId="37" borderId="8" xfId="8" applyFont="1" applyFill="1" applyBorder="1" applyAlignment="1" applyProtection="1">
      <alignment horizontal="right"/>
      <protection locked="0"/>
    </xf>
    <xf numFmtId="1" fontId="0" fillId="37" borderId="8" xfId="0" applyNumberFormat="1" applyFill="1" applyBorder="1"/>
    <xf numFmtId="178" fontId="19" fillId="37" borderId="8" xfId="0" applyNumberFormat="1" applyFont="1" applyFill="1" applyBorder="1" applyAlignment="1">
      <alignment horizontal="right"/>
    </xf>
    <xf numFmtId="0" fontId="1" fillId="37" borderId="8" xfId="0" applyFont="1" applyFill="1" applyBorder="1" applyAlignment="1">
      <alignment horizontal="right"/>
    </xf>
    <xf numFmtId="0" fontId="0" fillId="38" borderId="0" xfId="0" applyFill="1"/>
    <xf numFmtId="0" fontId="3" fillId="38" borderId="0" xfId="0" applyFont="1" applyFill="1" applyAlignment="1">
      <alignment vertical="top"/>
    </xf>
    <xf numFmtId="0" fontId="10" fillId="36" borderId="0" xfId="0" applyFont="1" applyFill="1" applyAlignment="1">
      <alignment vertical="top"/>
    </xf>
    <xf numFmtId="44" fontId="10" fillId="26" borderId="23" xfId="8" applyFont="1" applyFill="1" applyBorder="1" applyAlignment="1">
      <alignment vertical="top" wrapText="1"/>
    </xf>
    <xf numFmtId="0" fontId="10" fillId="0" borderId="0" xfId="0" applyFont="1" applyAlignment="1">
      <alignment vertical="top"/>
    </xf>
    <xf numFmtId="179" fontId="30" fillId="15" borderId="12" xfId="8" applyNumberFormat="1" applyFont="1" applyFill="1" applyBorder="1" applyAlignment="1">
      <alignment horizontal="center" vertical="center"/>
    </xf>
    <xf numFmtId="164" fontId="30" fillId="15" borderId="13" xfId="8" applyNumberFormat="1" applyFont="1" applyFill="1" applyBorder="1" applyAlignment="1">
      <alignment horizontal="center" vertical="center"/>
    </xf>
    <xf numFmtId="164" fontId="30" fillId="15" borderId="47" xfId="8" applyNumberFormat="1" applyFont="1" applyFill="1" applyBorder="1" applyAlignment="1">
      <alignment horizontal="center" vertical="center"/>
    </xf>
    <xf numFmtId="3" fontId="19" fillId="35" borderId="37" xfId="0" applyNumberFormat="1" applyFont="1" applyFill="1" applyBorder="1"/>
    <xf numFmtId="44" fontId="26" fillId="35" borderId="53" xfId="8" applyFont="1" applyFill="1" applyBorder="1"/>
    <xf numFmtId="44" fontId="30" fillId="35" borderId="23" xfId="8" applyFont="1" applyFill="1" applyBorder="1"/>
    <xf numFmtId="3" fontId="19" fillId="37" borderId="37" xfId="0" applyNumberFormat="1" applyFont="1" applyFill="1" applyBorder="1"/>
    <xf numFmtId="44" fontId="26" fillId="37" borderId="53" xfId="8" applyFont="1" applyFill="1" applyBorder="1"/>
    <xf numFmtId="44" fontId="30" fillId="37" borderId="23" xfId="8" applyFont="1" applyFill="1" applyBorder="1"/>
    <xf numFmtId="3" fontId="19" fillId="20" borderId="37" xfId="0" applyNumberFormat="1" applyFont="1" applyFill="1" applyBorder="1"/>
    <xf numFmtId="44" fontId="26" fillId="20" borderId="53" xfId="8" applyFont="1" applyFill="1" applyBorder="1"/>
    <xf numFmtId="44" fontId="30" fillId="20" borderId="23" xfId="8" applyFont="1" applyFill="1" applyBorder="1"/>
    <xf numFmtId="0" fontId="5" fillId="6" borderId="29" xfId="0" applyFont="1" applyFill="1" applyBorder="1" applyAlignment="1">
      <alignment vertical="center" wrapText="1"/>
    </xf>
    <xf numFmtId="0" fontId="5" fillId="6" borderId="37" xfId="0" applyFont="1" applyFill="1" applyBorder="1" applyAlignment="1">
      <alignment vertical="center" wrapText="1"/>
    </xf>
    <xf numFmtId="0" fontId="5" fillId="6" borderId="83" xfId="0" applyFont="1" applyFill="1" applyBorder="1" applyAlignment="1">
      <alignment vertical="center" wrapText="1"/>
    </xf>
    <xf numFmtId="0" fontId="84" fillId="0" borderId="0" xfId="0" applyFont="1"/>
    <xf numFmtId="6" fontId="84" fillId="0" borderId="0" xfId="0" applyNumberFormat="1" applyFont="1"/>
    <xf numFmtId="0" fontId="84" fillId="8" borderId="0" xfId="0" applyFont="1" applyFill="1"/>
    <xf numFmtId="49" fontId="84" fillId="8" borderId="0" xfId="0" applyNumberFormat="1" applyFont="1" applyFill="1"/>
    <xf numFmtId="0" fontId="0" fillId="31" borderId="35" xfId="0" applyFill="1" applyBorder="1"/>
    <xf numFmtId="0" fontId="72" fillId="31" borderId="35" xfId="0" applyFont="1" applyFill="1" applyBorder="1"/>
    <xf numFmtId="0" fontId="83" fillId="20" borderId="13" xfId="1" applyNumberFormat="1" applyFont="1" applyFill="1" applyBorder="1"/>
    <xf numFmtId="174" fontId="85" fillId="20" borderId="83" xfId="0" applyNumberFormat="1" applyFont="1" applyFill="1" applyBorder="1"/>
    <xf numFmtId="0" fontId="85" fillId="20" borderId="25" xfId="0" applyFont="1" applyFill="1" applyBorder="1"/>
    <xf numFmtId="174" fontId="85" fillId="20" borderId="25" xfId="0" applyNumberFormat="1" applyFont="1" applyFill="1" applyBorder="1"/>
    <xf numFmtId="0" fontId="0" fillId="14" borderId="13" xfId="0" applyFill="1" applyBorder="1"/>
    <xf numFmtId="2" fontId="0" fillId="14" borderId="13" xfId="0" applyNumberFormat="1" applyFill="1" applyBorder="1"/>
    <xf numFmtId="2" fontId="0" fillId="14" borderId="29" xfId="0" applyNumberFormat="1" applyFill="1" applyBorder="1"/>
    <xf numFmtId="2" fontId="0" fillId="9" borderId="16" xfId="0" applyNumberFormat="1" applyFill="1" applyBorder="1"/>
    <xf numFmtId="1" fontId="85" fillId="15" borderId="58" xfId="0" applyNumberFormat="1" applyFont="1" applyFill="1" applyBorder="1" applyAlignment="1">
      <alignment horizontal="center"/>
    </xf>
    <xf numFmtId="2" fontId="0" fillId="9" borderId="8" xfId="0" applyNumberFormat="1" applyFill="1" applyBorder="1"/>
    <xf numFmtId="2" fontId="0" fillId="9" borderId="53" xfId="0" applyNumberFormat="1" applyFill="1" applyBorder="1"/>
    <xf numFmtId="2" fontId="0" fillId="9" borderId="12" xfId="0" applyNumberFormat="1" applyFill="1" applyBorder="1"/>
    <xf numFmtId="2" fontId="0" fillId="9" borderId="13" xfId="0" applyNumberFormat="1" applyFill="1" applyBorder="1"/>
    <xf numFmtId="2" fontId="0" fillId="9" borderId="48" xfId="0" applyNumberFormat="1" applyFill="1" applyBorder="1"/>
    <xf numFmtId="2" fontId="0" fillId="9" borderId="25" xfId="0" applyNumberFormat="1" applyFill="1" applyBorder="1"/>
    <xf numFmtId="167" fontId="0" fillId="9" borderId="25" xfId="0" applyNumberFormat="1" applyFill="1" applyBorder="1" applyAlignment="1">
      <alignment horizontal="center"/>
    </xf>
    <xf numFmtId="0" fontId="0" fillId="15" borderId="5" xfId="1" applyNumberFormat="1" applyFont="1" applyFill="1" applyBorder="1" applyAlignment="1">
      <alignment horizontal="center"/>
    </xf>
    <xf numFmtId="167" fontId="0" fillId="20" borderId="83" xfId="0" applyNumberFormat="1" applyFill="1" applyBorder="1" applyAlignment="1">
      <alignment horizontal="center"/>
    </xf>
    <xf numFmtId="167" fontId="0" fillId="9" borderId="48" xfId="0" applyNumberFormat="1" applyFill="1" applyBorder="1" applyAlignment="1">
      <alignment horizontal="center"/>
    </xf>
    <xf numFmtId="0" fontId="83" fillId="15" borderId="13" xfId="1" applyNumberFormat="1" applyFont="1" applyFill="1" applyBorder="1" applyAlignment="1">
      <alignment horizontal="center"/>
    </xf>
    <xf numFmtId="0" fontId="83" fillId="15" borderId="25" xfId="1" applyNumberFormat="1" applyFont="1" applyFill="1" applyBorder="1" applyAlignment="1">
      <alignment horizontal="center"/>
    </xf>
    <xf numFmtId="0" fontId="83" fillId="15" borderId="9" xfId="1" applyNumberFormat="1" applyFont="1" applyFill="1" applyBorder="1" applyAlignment="1">
      <alignment horizontal="center"/>
    </xf>
    <xf numFmtId="167" fontId="83" fillId="20" borderId="85" xfId="0" applyNumberFormat="1" applyFont="1" applyFill="1" applyBorder="1" applyAlignment="1">
      <alignment horizontal="center"/>
    </xf>
    <xf numFmtId="167" fontId="83" fillId="20" borderId="25" xfId="0" applyNumberFormat="1" applyFont="1" applyFill="1" applyBorder="1" applyAlignment="1">
      <alignment horizontal="center"/>
    </xf>
    <xf numFmtId="0" fontId="83" fillId="15" borderId="7" xfId="1" applyNumberFormat="1" applyFont="1" applyFill="1" applyBorder="1" applyAlignment="1">
      <alignment horizontal="center"/>
    </xf>
    <xf numFmtId="0" fontId="0" fillId="15" borderId="53" xfId="1" applyNumberFormat="1" applyFont="1" applyFill="1" applyBorder="1" applyAlignment="1">
      <alignment horizontal="center"/>
    </xf>
    <xf numFmtId="0" fontId="0" fillId="9" borderId="12" xfId="1" applyNumberFormat="1" applyFont="1" applyFill="1" applyBorder="1" applyAlignment="1">
      <alignment horizontal="center"/>
    </xf>
    <xf numFmtId="0" fontId="0" fillId="9" borderId="13" xfId="1" applyNumberFormat="1" applyFont="1" applyFill="1" applyBorder="1" applyAlignment="1">
      <alignment horizontal="center"/>
    </xf>
    <xf numFmtId="0" fontId="1" fillId="15" borderId="13" xfId="1" applyNumberFormat="1" applyFont="1" applyFill="1" applyBorder="1" applyAlignment="1">
      <alignment horizontal="center"/>
    </xf>
    <xf numFmtId="0" fontId="1" fillId="9" borderId="47" xfId="1" applyNumberFormat="1" applyFont="1" applyFill="1" applyBorder="1" applyAlignment="1">
      <alignment horizontal="center"/>
    </xf>
    <xf numFmtId="167" fontId="1" fillId="9" borderId="56" xfId="0" applyNumberFormat="1" applyFont="1" applyFill="1" applyBorder="1" applyAlignment="1">
      <alignment horizontal="center"/>
    </xf>
    <xf numFmtId="0" fontId="1" fillId="15" borderId="53" xfId="1" applyNumberFormat="1" applyFont="1" applyFill="1" applyBorder="1" applyAlignment="1">
      <alignment horizontal="center"/>
    </xf>
    <xf numFmtId="2" fontId="0" fillId="20" borderId="12" xfId="0" applyNumberFormat="1" applyFill="1" applyBorder="1"/>
    <xf numFmtId="2" fontId="0" fillId="20" borderId="13" xfId="0" applyNumberFormat="1" applyFill="1" applyBorder="1"/>
    <xf numFmtId="2" fontId="0" fillId="20" borderId="15" xfId="0" applyNumberFormat="1" applyFill="1" applyBorder="1"/>
    <xf numFmtId="2" fontId="0" fillId="20" borderId="9" xfId="0" applyNumberFormat="1" applyFill="1" applyBorder="1"/>
    <xf numFmtId="2" fontId="0" fillId="20" borderId="17" xfId="0" applyNumberFormat="1" applyFill="1" applyBorder="1"/>
    <xf numFmtId="2" fontId="0" fillId="20" borderId="18" xfId="0" applyNumberFormat="1" applyFill="1" applyBorder="1"/>
    <xf numFmtId="2" fontId="0" fillId="20" borderId="29" xfId="0" applyNumberFormat="1" applyFill="1" applyBorder="1"/>
    <xf numFmtId="2" fontId="0" fillId="20" borderId="5" xfId="0" applyNumberFormat="1" applyFill="1" applyBorder="1"/>
    <xf numFmtId="2" fontId="0" fillId="20" borderId="30" xfId="0" applyNumberFormat="1" applyFill="1" applyBorder="1"/>
    <xf numFmtId="164" fontId="86" fillId="20" borderId="8" xfId="8" applyNumberFormat="1" applyFont="1" applyFill="1" applyBorder="1" applyAlignment="1">
      <alignment horizontal="center" vertical="center"/>
    </xf>
    <xf numFmtId="164" fontId="86" fillId="20" borderId="55" xfId="8" applyNumberFormat="1" applyFont="1" applyFill="1" applyBorder="1" applyAlignment="1">
      <alignment horizontal="center" vertical="center"/>
    </xf>
    <xf numFmtId="179" fontId="86" fillId="20" borderId="16" xfId="8" applyNumberFormat="1" applyFont="1" applyFill="1" applyBorder="1" applyAlignment="1">
      <alignment horizontal="center" vertical="center"/>
    </xf>
    <xf numFmtId="0" fontId="30" fillId="15" borderId="27" xfId="0" applyFont="1" applyFill="1" applyBorder="1" applyAlignment="1">
      <alignment horizontal="center" vertical="center"/>
    </xf>
    <xf numFmtId="0" fontId="86" fillId="20" borderId="31" xfId="0" applyFont="1" applyFill="1" applyBorder="1" applyAlignment="1">
      <alignment horizontal="center"/>
    </xf>
    <xf numFmtId="0" fontId="86" fillId="20" borderId="28" xfId="0" applyFont="1" applyFill="1" applyBorder="1" applyAlignment="1">
      <alignment horizontal="center"/>
    </xf>
    <xf numFmtId="164" fontId="86" fillId="20" borderId="53" xfId="8" applyNumberFormat="1" applyFont="1" applyFill="1" applyBorder="1" applyAlignment="1">
      <alignment horizontal="center" vertical="center"/>
    </xf>
    <xf numFmtId="164" fontId="86" fillId="20" borderId="54" xfId="8" applyNumberFormat="1" applyFont="1" applyFill="1" applyBorder="1" applyAlignment="1">
      <alignment horizontal="center" vertical="center"/>
    </xf>
    <xf numFmtId="179" fontId="86" fillId="20" borderId="52" xfId="8" applyNumberFormat="1" applyFont="1" applyFill="1" applyBorder="1" applyAlignment="1">
      <alignment horizontal="center" vertical="center"/>
    </xf>
    <xf numFmtId="0" fontId="73" fillId="32" borderId="0" xfId="0" applyFont="1" applyFill="1"/>
    <xf numFmtId="0" fontId="73" fillId="0" borderId="0" xfId="0" applyFont="1"/>
    <xf numFmtId="0" fontId="88" fillId="32" borderId="0" xfId="0" applyFont="1" applyFill="1"/>
    <xf numFmtId="0" fontId="88" fillId="20" borderId="32" xfId="0" applyFont="1" applyFill="1" applyBorder="1" applyAlignment="1">
      <alignment horizontal="center"/>
    </xf>
    <xf numFmtId="0" fontId="89" fillId="15" borderId="32" xfId="0" applyFont="1" applyFill="1" applyBorder="1" applyAlignment="1">
      <alignment horizontal="center" vertical="center"/>
    </xf>
    <xf numFmtId="164" fontId="88" fillId="20" borderId="8" xfId="8" applyNumberFormat="1" applyFont="1" applyFill="1" applyBorder="1" applyAlignment="1">
      <alignment horizontal="center" vertical="center"/>
    </xf>
    <xf numFmtId="164" fontId="88" fillId="20" borderId="55" xfId="8" applyNumberFormat="1" applyFont="1" applyFill="1" applyBorder="1" applyAlignment="1">
      <alignment horizontal="center" vertical="center"/>
    </xf>
    <xf numFmtId="179" fontId="88" fillId="20" borderId="16" xfId="8" applyNumberFormat="1" applyFont="1" applyFill="1" applyBorder="1" applyAlignment="1">
      <alignment horizontal="center" vertical="center"/>
    </xf>
    <xf numFmtId="0" fontId="88" fillId="0" borderId="0" xfId="0" applyFont="1"/>
    <xf numFmtId="0" fontId="0" fillId="39" borderId="0" xfId="0" applyFill="1"/>
    <xf numFmtId="0" fontId="23" fillId="12" borderId="8" xfId="0" applyFont="1" applyFill="1" applyBorder="1"/>
    <xf numFmtId="0" fontId="0" fillId="12" borderId="8" xfId="0" applyFill="1" applyBorder="1"/>
    <xf numFmtId="0" fontId="0" fillId="12" borderId="0" xfId="0" applyFill="1"/>
    <xf numFmtId="9" fontId="5" fillId="12" borderId="53" xfId="3" applyFont="1" applyFill="1" applyBorder="1" applyAlignment="1">
      <alignment horizontal="right" vertical="center" wrapText="1"/>
    </xf>
    <xf numFmtId="0" fontId="23" fillId="12" borderId="37" xfId="0" applyFont="1" applyFill="1" applyBorder="1"/>
    <xf numFmtId="8" fontId="30" fillId="12" borderId="23" xfId="0" applyNumberFormat="1" applyFont="1" applyFill="1" applyBorder="1"/>
    <xf numFmtId="0" fontId="56" fillId="39" borderId="0" xfId="0" applyFont="1" applyFill="1"/>
    <xf numFmtId="3" fontId="19" fillId="19" borderId="37" xfId="0" applyNumberFormat="1" applyFont="1" applyFill="1" applyBorder="1"/>
    <xf numFmtId="44" fontId="26" fillId="19" borderId="53" xfId="8" applyFont="1" applyFill="1" applyBorder="1"/>
    <xf numFmtId="44" fontId="30" fillId="19" borderId="23" xfId="8" applyFont="1" applyFill="1" applyBorder="1"/>
    <xf numFmtId="0" fontId="10" fillId="26" borderId="37" xfId="0" applyFont="1" applyFill="1" applyBorder="1" applyAlignment="1">
      <alignment horizontal="left" vertical="top" wrapText="1"/>
    </xf>
    <xf numFmtId="0" fontId="10" fillId="26" borderId="44" xfId="0" applyFont="1" applyFill="1" applyBorder="1" applyAlignment="1">
      <alignment horizontal="left" vertical="top" wrapText="1"/>
    </xf>
    <xf numFmtId="43" fontId="3" fillId="20" borderId="0" xfId="1" applyFont="1" applyFill="1" applyBorder="1" applyAlignment="1">
      <alignment vertical="top" wrapText="1"/>
    </xf>
    <xf numFmtId="43" fontId="3" fillId="19" borderId="0" xfId="1" applyFont="1" applyFill="1" applyBorder="1" applyAlignment="1">
      <alignment vertical="top" wrapText="1"/>
    </xf>
    <xf numFmtId="43" fontId="3" fillId="35" borderId="0" xfId="1" applyFont="1" applyFill="1" applyBorder="1" applyAlignment="1">
      <alignment vertical="top" wrapText="1"/>
    </xf>
    <xf numFmtId="43" fontId="3" fillId="37" borderId="0" xfId="1" applyFont="1" applyFill="1" applyBorder="1" applyAlignment="1">
      <alignment vertical="top" wrapText="1"/>
    </xf>
    <xf numFmtId="0" fontId="0" fillId="15" borderId="46" xfId="0" applyFill="1" applyBorder="1" applyAlignment="1">
      <alignment horizontal="center" vertical="center"/>
    </xf>
    <xf numFmtId="0" fontId="87" fillId="15" borderId="31" xfId="0" applyFont="1" applyFill="1" applyBorder="1" applyAlignment="1">
      <alignment horizontal="center" vertical="center"/>
    </xf>
    <xf numFmtId="0" fontId="87" fillId="15" borderId="28" xfId="0" applyFont="1" applyFill="1" applyBorder="1" applyAlignment="1">
      <alignment horizontal="center" vertical="center"/>
    </xf>
    <xf numFmtId="0" fontId="30" fillId="15" borderId="47" xfId="0" applyFont="1" applyFill="1" applyBorder="1" applyAlignment="1">
      <alignment horizontal="center" vertical="center"/>
    </xf>
    <xf numFmtId="164" fontId="30" fillId="15" borderId="12" xfId="8" applyNumberFormat="1" applyFont="1" applyFill="1" applyBorder="1" applyAlignment="1">
      <alignment horizontal="center" vertical="center"/>
    </xf>
    <xf numFmtId="0" fontId="86" fillId="20" borderId="55" xfId="0" applyFont="1" applyFill="1" applyBorder="1" applyAlignment="1">
      <alignment horizontal="center" vertical="center"/>
    </xf>
    <xf numFmtId="164" fontId="88" fillId="20" borderId="16" xfId="8" applyNumberFormat="1" applyFont="1" applyFill="1" applyBorder="1" applyAlignment="1">
      <alignment horizontal="center" vertical="center"/>
    </xf>
    <xf numFmtId="164" fontId="86" fillId="20" borderId="16" xfId="8" applyNumberFormat="1" applyFont="1" applyFill="1" applyBorder="1" applyAlignment="1">
      <alignment horizontal="center" vertical="center"/>
    </xf>
    <xf numFmtId="0" fontId="86" fillId="20" borderId="54" xfId="0" applyFont="1" applyFill="1" applyBorder="1" applyAlignment="1">
      <alignment horizontal="center" vertical="center"/>
    </xf>
    <xf numFmtId="164" fontId="86" fillId="20" borderId="52" xfId="8" applyNumberFormat="1" applyFont="1" applyFill="1" applyBorder="1" applyAlignment="1">
      <alignment horizontal="center" vertical="center"/>
    </xf>
    <xf numFmtId="0" fontId="1" fillId="40" borderId="31" xfId="0" applyFont="1" applyFill="1" applyBorder="1" applyAlignment="1">
      <alignment horizontal="center"/>
    </xf>
    <xf numFmtId="0" fontId="3" fillId="40" borderId="31" xfId="0" applyFont="1" applyFill="1" applyBorder="1" applyAlignment="1">
      <alignment horizontal="center" vertical="center"/>
    </xf>
    <xf numFmtId="0" fontId="1" fillId="40" borderId="55" xfId="0" applyFont="1" applyFill="1" applyBorder="1" applyAlignment="1">
      <alignment horizontal="center" vertical="center"/>
    </xf>
    <xf numFmtId="164" fontId="1" fillId="40" borderId="16" xfId="8" applyNumberFormat="1" applyFont="1" applyFill="1" applyBorder="1" applyAlignment="1">
      <alignment horizontal="center" vertical="center"/>
    </xf>
    <xf numFmtId="164" fontId="1" fillId="40" borderId="8" xfId="8" applyNumberFormat="1" applyFont="1" applyFill="1" applyBorder="1" applyAlignment="1">
      <alignment horizontal="center" vertical="center"/>
    </xf>
    <xf numFmtId="164" fontId="1" fillId="40" borderId="55" xfId="8" applyNumberFormat="1" applyFont="1" applyFill="1" applyBorder="1" applyAlignment="1">
      <alignment horizontal="center" vertical="center"/>
    </xf>
    <xf numFmtId="179" fontId="1" fillId="40" borderId="16" xfId="8" applyNumberFormat="1" applyFont="1" applyFill="1" applyBorder="1" applyAlignment="1">
      <alignment horizontal="center" vertical="center"/>
    </xf>
    <xf numFmtId="0" fontId="1" fillId="40" borderId="81" xfId="0" applyFont="1" applyFill="1" applyBorder="1" applyAlignment="1">
      <alignment horizontal="center"/>
    </xf>
    <xf numFmtId="0" fontId="1" fillId="40" borderId="56" xfId="0" applyFont="1" applyFill="1" applyBorder="1" applyAlignment="1">
      <alignment horizontal="center" vertical="center"/>
    </xf>
    <xf numFmtId="164" fontId="1" fillId="40" borderId="48" xfId="8" applyNumberFormat="1" applyFont="1" applyFill="1" applyBorder="1" applyAlignment="1">
      <alignment horizontal="center" vertical="center"/>
    </xf>
    <xf numFmtId="164" fontId="1" fillId="40" borderId="25" xfId="8" applyNumberFormat="1" applyFont="1" applyFill="1" applyBorder="1" applyAlignment="1">
      <alignment horizontal="center" vertical="center"/>
    </xf>
    <xf numFmtId="164" fontId="1" fillId="40" borderId="56" xfId="8" applyNumberFormat="1" applyFont="1" applyFill="1" applyBorder="1" applyAlignment="1">
      <alignment horizontal="center" vertical="center"/>
    </xf>
    <xf numFmtId="179" fontId="1" fillId="40" borderId="48" xfId="8" applyNumberFormat="1" applyFont="1" applyFill="1" applyBorder="1" applyAlignment="1">
      <alignment horizontal="center" vertical="center"/>
    </xf>
    <xf numFmtId="0" fontId="1" fillId="20" borderId="12" xfId="9" applyFill="1" applyBorder="1" applyAlignment="1">
      <alignment horizontal="left" vertical="center"/>
    </xf>
    <xf numFmtId="0" fontId="1" fillId="20" borderId="16" xfId="9" applyFill="1" applyBorder="1" applyAlignment="1">
      <alignment horizontal="left" vertical="center"/>
    </xf>
    <xf numFmtId="0" fontId="1" fillId="20" borderId="53" xfId="9" applyFill="1" applyBorder="1" applyAlignment="1">
      <alignment horizontal="left" vertical="center"/>
    </xf>
    <xf numFmtId="0" fontId="0" fillId="20" borderId="28" xfId="0" applyFill="1" applyBorder="1" applyAlignment="1">
      <alignment wrapText="1"/>
    </xf>
    <xf numFmtId="0" fontId="0" fillId="20" borderId="53" xfId="0" applyFill="1" applyBorder="1" applyAlignment="1">
      <alignment wrapText="1"/>
    </xf>
    <xf numFmtId="0" fontId="0" fillId="20" borderId="54" xfId="0" applyFill="1" applyBorder="1"/>
    <xf numFmtId="180" fontId="88" fillId="20" borderId="49" xfId="0" applyNumberFormat="1" applyFont="1" applyFill="1" applyBorder="1" applyAlignment="1">
      <alignment horizontal="center" vertical="center"/>
    </xf>
    <xf numFmtId="180" fontId="86" fillId="20" borderId="49" xfId="0" applyNumberFormat="1" applyFont="1" applyFill="1" applyBorder="1" applyAlignment="1">
      <alignment horizontal="center" vertical="center"/>
    </xf>
    <xf numFmtId="180" fontId="1" fillId="40" borderId="49" xfId="0" applyNumberFormat="1" applyFont="1" applyFill="1" applyBorder="1" applyAlignment="1">
      <alignment horizontal="center" vertical="center"/>
    </xf>
    <xf numFmtId="6" fontId="4" fillId="17" borderId="35" xfId="0" applyNumberFormat="1" applyFont="1" applyFill="1" applyBorder="1" applyAlignment="1">
      <alignment horizontal="right" vertical="center" wrapText="1"/>
    </xf>
    <xf numFmtId="6" fontId="4" fillId="17" borderId="36" xfId="0" applyNumberFormat="1" applyFont="1" applyFill="1" applyBorder="1" applyAlignment="1">
      <alignment horizontal="right" vertical="center" wrapText="1"/>
    </xf>
    <xf numFmtId="164" fontId="4" fillId="17" borderId="0" xfId="8" applyNumberFormat="1" applyFont="1" applyFill="1" applyBorder="1" applyAlignment="1">
      <alignment horizontal="right"/>
    </xf>
    <xf numFmtId="164" fontId="4" fillId="17" borderId="21" xfId="8" applyNumberFormat="1" applyFont="1" applyFill="1" applyBorder="1" applyAlignment="1">
      <alignment horizontal="right"/>
    </xf>
    <xf numFmtId="0" fontId="3" fillId="14" borderId="22" xfId="0" applyFont="1" applyFill="1" applyBorder="1" applyAlignment="1">
      <alignment vertical="center"/>
    </xf>
    <xf numFmtId="6" fontId="4" fillId="17" borderId="0" xfId="0" applyNumberFormat="1" applyFont="1" applyFill="1" applyAlignment="1">
      <alignment horizontal="right" vertical="center" wrapText="1"/>
    </xf>
    <xf numFmtId="0" fontId="4" fillId="17" borderId="21" xfId="0" applyFont="1" applyFill="1" applyBorder="1" applyAlignment="1">
      <alignment horizontal="right" vertical="center" wrapText="1"/>
    </xf>
    <xf numFmtId="6" fontId="4" fillId="17" borderId="21" xfId="0" applyNumberFormat="1" applyFont="1" applyFill="1" applyBorder="1" applyAlignment="1">
      <alignment horizontal="right" vertical="center" wrapText="1"/>
    </xf>
    <xf numFmtId="0" fontId="4" fillId="17" borderId="0" xfId="0" applyFont="1" applyFill="1" applyAlignment="1">
      <alignment horizontal="center" wrapText="1"/>
    </xf>
    <xf numFmtId="6" fontId="4" fillId="17" borderId="0" xfId="0" applyNumberFormat="1" applyFont="1" applyFill="1" applyAlignment="1">
      <alignment horizontal="right" wrapText="1"/>
    </xf>
    <xf numFmtId="0" fontId="4" fillId="17" borderId="0" xfId="0" applyFont="1" applyFill="1" applyAlignment="1">
      <alignment horizontal="center" vertical="top" wrapText="1"/>
    </xf>
    <xf numFmtId="176" fontId="4" fillId="17" borderId="0" xfId="0" applyNumberFormat="1" applyFont="1" applyFill="1" applyAlignment="1">
      <alignment horizontal="right" vertical="center" wrapText="1"/>
    </xf>
    <xf numFmtId="164" fontId="4" fillId="17" borderId="0" xfId="0" applyNumberFormat="1" applyFont="1" applyFill="1" applyAlignment="1">
      <alignment horizontal="right" vertical="center" wrapText="1"/>
    </xf>
    <xf numFmtId="176" fontId="71" fillId="30" borderId="78" xfId="1" applyNumberFormat="1" applyFont="1" applyFill="1" applyBorder="1" applyAlignment="1" applyProtection="1">
      <alignment horizontal="center"/>
      <protection locked="0"/>
    </xf>
    <xf numFmtId="49" fontId="1" fillId="12" borderId="10" xfId="0" applyNumberFormat="1" applyFont="1" applyFill="1" applyBorder="1" applyAlignment="1">
      <alignment horizontal="right" vertical="center"/>
    </xf>
    <xf numFmtId="49" fontId="1" fillId="23" borderId="10" xfId="0" applyNumberFormat="1" applyFont="1" applyFill="1" applyBorder="1" applyAlignment="1">
      <alignment horizontal="right" vertical="center"/>
    </xf>
    <xf numFmtId="49" fontId="1" fillId="23" borderId="11" xfId="0" applyNumberFormat="1" applyFont="1" applyFill="1" applyBorder="1" applyAlignment="1">
      <alignment horizontal="right" vertical="center"/>
    </xf>
    <xf numFmtId="0" fontId="1" fillId="23" borderId="22" xfId="0" applyFont="1" applyFill="1" applyBorder="1" applyAlignment="1">
      <alignment vertical="center"/>
    </xf>
    <xf numFmtId="164" fontId="1" fillId="10" borderId="22" xfId="8" applyNumberFormat="1" applyFont="1" applyFill="1" applyBorder="1" applyAlignment="1">
      <alignment horizontal="center" vertical="center"/>
    </xf>
    <xf numFmtId="164" fontId="1" fillId="12" borderId="22" xfId="8" applyNumberFormat="1" applyFont="1" applyFill="1" applyBorder="1" applyAlignment="1">
      <alignment horizontal="center" vertical="center"/>
    </xf>
    <xf numFmtId="164" fontId="1" fillId="12" borderId="23" xfId="8" applyNumberFormat="1" applyFont="1" applyFill="1" applyBorder="1" applyAlignment="1">
      <alignment horizontal="center" vertical="center"/>
    </xf>
    <xf numFmtId="164" fontId="1" fillId="12" borderId="24" xfId="8" applyNumberFormat="1" applyFont="1" applyFill="1" applyBorder="1" applyAlignment="1">
      <alignment horizontal="center" vertical="center"/>
    </xf>
    <xf numFmtId="164" fontId="1" fillId="23" borderId="22" xfId="8" applyNumberFormat="1" applyFont="1" applyFill="1" applyBorder="1" applyAlignment="1">
      <alignment horizontal="center" vertical="center"/>
    </xf>
    <xf numFmtId="164" fontId="1" fillId="23" borderId="10" xfId="8" applyNumberFormat="1" applyFont="1" applyFill="1" applyBorder="1" applyAlignment="1">
      <alignment horizontal="center" vertical="center"/>
    </xf>
    <xf numFmtId="164" fontId="1" fillId="23" borderId="23" xfId="8" applyNumberFormat="1" applyFont="1" applyFill="1" applyBorder="1" applyAlignment="1">
      <alignment horizontal="center" vertical="center"/>
    </xf>
    <xf numFmtId="164" fontId="3" fillId="14" borderId="22" xfId="8" applyNumberFormat="1" applyFont="1" applyFill="1" applyBorder="1" applyAlignment="1">
      <alignment horizontal="center" vertical="center"/>
    </xf>
    <xf numFmtId="164" fontId="12" fillId="11" borderId="19" xfId="8" applyNumberFormat="1" applyFont="1" applyFill="1" applyBorder="1" applyAlignment="1">
      <alignment horizontal="center" vertical="center"/>
    </xf>
    <xf numFmtId="164" fontId="12" fillId="11" borderId="20" xfId="8" applyNumberFormat="1" applyFont="1" applyFill="1" applyBorder="1" applyAlignment="1">
      <alignment horizontal="center" vertical="center"/>
    </xf>
    <xf numFmtId="164" fontId="3" fillId="12" borderId="22" xfId="8" applyNumberFormat="1" applyFont="1" applyFill="1" applyBorder="1" applyAlignment="1">
      <alignment horizontal="center" vertical="center"/>
    </xf>
    <xf numFmtId="164" fontId="12" fillId="12" borderId="23" xfId="8" applyNumberFormat="1" applyFont="1" applyFill="1" applyBorder="1" applyAlignment="1">
      <alignment horizontal="center" vertical="center"/>
    </xf>
    <xf numFmtId="164" fontId="12" fillId="12" borderId="24" xfId="8" applyNumberFormat="1" applyFont="1" applyFill="1" applyBorder="1" applyAlignment="1">
      <alignment horizontal="center" vertical="center"/>
    </xf>
    <xf numFmtId="43" fontId="11" fillId="8" borderId="14" xfId="1" applyFont="1" applyFill="1" applyBorder="1" applyAlignment="1">
      <alignment horizontal="center" vertical="center"/>
    </xf>
    <xf numFmtId="43" fontId="11" fillId="8" borderId="21" xfId="1" applyFont="1" applyFill="1" applyBorder="1" applyAlignment="1">
      <alignment horizontal="center" vertical="center"/>
    </xf>
    <xf numFmtId="0" fontId="1" fillId="8" borderId="14" xfId="0" applyFont="1" applyFill="1" applyBorder="1" applyAlignment="1">
      <alignment vertical="center"/>
    </xf>
    <xf numFmtId="0" fontId="1" fillId="8" borderId="21" xfId="0" applyFont="1" applyFill="1" applyBorder="1" applyAlignment="1">
      <alignment vertical="center"/>
    </xf>
    <xf numFmtId="0" fontId="58" fillId="0" borderId="0" xfId="0" applyFont="1"/>
    <xf numFmtId="0" fontId="90" fillId="17" borderId="39" xfId="0" applyFont="1" applyFill="1" applyBorder="1" applyAlignment="1">
      <alignment vertical="center" wrapText="1"/>
    </xf>
    <xf numFmtId="44" fontId="91" fillId="8" borderId="8" xfId="8" applyFont="1" applyFill="1" applyBorder="1" applyAlignment="1" applyProtection="1">
      <alignment horizontal="center" vertical="center"/>
      <protection locked="0"/>
    </xf>
    <xf numFmtId="2" fontId="0" fillId="10" borderId="15" xfId="0" applyNumberFormat="1" applyFill="1" applyBorder="1"/>
    <xf numFmtId="2" fontId="0" fillId="10" borderId="9" xfId="0" applyNumberFormat="1" applyFill="1" applyBorder="1"/>
    <xf numFmtId="2" fontId="0" fillId="10" borderId="59" xfId="0" applyNumberFormat="1" applyFill="1" applyBorder="1"/>
    <xf numFmtId="2" fontId="29" fillId="10" borderId="49" xfId="0" applyNumberFormat="1" applyFont="1" applyFill="1" applyBorder="1"/>
    <xf numFmtId="2" fontId="29" fillId="10" borderId="8" xfId="0" applyNumberFormat="1" applyFont="1" applyFill="1" applyBorder="1"/>
    <xf numFmtId="2" fontId="92" fillId="10" borderId="49" xfId="0" applyNumberFormat="1" applyFont="1" applyFill="1" applyBorder="1"/>
    <xf numFmtId="2" fontId="29" fillId="10" borderId="53" xfId="0" applyNumberFormat="1" applyFont="1" applyFill="1" applyBorder="1"/>
    <xf numFmtId="2" fontId="29" fillId="10" borderId="13" xfId="0" applyNumberFormat="1" applyFont="1" applyFill="1" applyBorder="1"/>
    <xf numFmtId="2" fontId="29" fillId="10" borderId="47" xfId="0" applyNumberFormat="1" applyFont="1" applyFill="1" applyBorder="1"/>
    <xf numFmtId="2" fontId="29" fillId="10" borderId="55" xfId="0" applyNumberFormat="1" applyFont="1" applyFill="1" applyBorder="1"/>
    <xf numFmtId="2" fontId="29" fillId="10" borderId="25" xfId="0" applyNumberFormat="1" applyFont="1" applyFill="1" applyBorder="1"/>
    <xf numFmtId="2" fontId="29" fillId="10" borderId="56" xfId="0" applyNumberFormat="1" applyFont="1" applyFill="1" applyBorder="1"/>
    <xf numFmtId="0" fontId="93" fillId="0" borderId="0" xfId="0" applyFont="1"/>
    <xf numFmtId="2" fontId="29" fillId="10" borderId="54" xfId="0" applyNumberFormat="1" applyFont="1" applyFill="1" applyBorder="1"/>
    <xf numFmtId="2" fontId="0" fillId="10" borderId="8" xfId="0" applyNumberFormat="1" applyFill="1" applyBorder="1"/>
    <xf numFmtId="2" fontId="0" fillId="10" borderId="16" xfId="0" applyNumberFormat="1" applyFill="1" applyBorder="1"/>
    <xf numFmtId="2" fontId="0" fillId="10" borderId="55" xfId="0" applyNumberFormat="1" applyFill="1" applyBorder="1"/>
    <xf numFmtId="2" fontId="0" fillId="10" borderId="48" xfId="0" applyNumberFormat="1" applyFill="1" applyBorder="1"/>
    <xf numFmtId="2" fontId="0" fillId="10" borderId="25" xfId="0" applyNumberFormat="1" applyFill="1" applyBorder="1"/>
    <xf numFmtId="2" fontId="0" fillId="10" borderId="56" xfId="0" applyNumberFormat="1" applyFill="1" applyBorder="1"/>
    <xf numFmtId="2" fontId="0" fillId="9" borderId="29" xfId="0" applyNumberFormat="1" applyFill="1" applyBorder="1"/>
    <xf numFmtId="2" fontId="0" fillId="9" borderId="37" xfId="0" applyNumberFormat="1" applyFill="1" applyBorder="1"/>
    <xf numFmtId="2" fontId="0" fillId="9" borderId="83" xfId="0" applyNumberFormat="1" applyFill="1" applyBorder="1"/>
    <xf numFmtId="2" fontId="29" fillId="10" borderId="2" xfId="0" applyNumberFormat="1" applyFont="1" applyFill="1" applyBorder="1"/>
    <xf numFmtId="2" fontId="29" fillId="10" borderId="12" xfId="0" applyNumberFormat="1" applyFont="1" applyFill="1" applyBorder="1"/>
    <xf numFmtId="2" fontId="29" fillId="10" borderId="16" xfId="0" applyNumberFormat="1" applyFont="1" applyFill="1" applyBorder="1"/>
    <xf numFmtId="2" fontId="29" fillId="10" borderId="48" xfId="0" applyNumberFormat="1" applyFont="1" applyFill="1" applyBorder="1"/>
    <xf numFmtId="2" fontId="0" fillId="9" borderId="1" xfId="0" applyNumberFormat="1" applyFill="1" applyBorder="1"/>
    <xf numFmtId="2" fontId="29" fillId="10" borderId="46" xfId="0" applyNumberFormat="1" applyFont="1" applyFill="1" applyBorder="1"/>
    <xf numFmtId="2" fontId="92" fillId="10" borderId="16" xfId="0" applyNumberFormat="1" applyFont="1" applyFill="1" applyBorder="1"/>
    <xf numFmtId="2" fontId="29" fillId="10" borderId="52" xfId="0" applyNumberFormat="1" applyFont="1" applyFill="1" applyBorder="1"/>
    <xf numFmtId="0" fontId="5" fillId="17" borderId="0" xfId="0" applyFont="1" applyFill="1" applyAlignment="1">
      <alignment horizontal="left" vertical="center" wrapText="1"/>
    </xf>
    <xf numFmtId="0" fontId="5" fillId="17" borderId="0" xfId="0" applyFont="1" applyFill="1" applyAlignment="1">
      <alignment horizontal="left" vertical="top" wrapText="1"/>
    </xf>
    <xf numFmtId="0" fontId="94" fillId="0" borderId="0" xfId="0" applyFont="1"/>
    <xf numFmtId="0" fontId="94" fillId="32" borderId="0" xfId="0" applyFont="1" applyFill="1"/>
    <xf numFmtId="0" fontId="94" fillId="20" borderId="41" xfId="0" applyFont="1" applyFill="1" applyBorder="1" applyAlignment="1">
      <alignment horizontal="center"/>
    </xf>
    <xf numFmtId="0" fontId="94" fillId="20" borderId="41" xfId="0" applyFont="1" applyFill="1" applyBorder="1" applyAlignment="1">
      <alignment horizontal="center" vertical="center"/>
    </xf>
    <xf numFmtId="164" fontId="94" fillId="20" borderId="4" xfId="8" applyNumberFormat="1" applyFont="1" applyFill="1" applyBorder="1" applyAlignment="1">
      <alignment horizontal="center" vertical="center"/>
    </xf>
    <xf numFmtId="164" fontId="94" fillId="20" borderId="58" xfId="8" applyNumberFormat="1" applyFont="1" applyFill="1" applyBorder="1" applyAlignment="1">
      <alignment horizontal="center" vertical="center"/>
    </xf>
    <xf numFmtId="164" fontId="94" fillId="20" borderId="82" xfId="8" applyNumberFormat="1" applyFont="1" applyFill="1" applyBorder="1" applyAlignment="1">
      <alignment horizontal="center" vertical="center"/>
    </xf>
    <xf numFmtId="179" fontId="94" fillId="20" borderId="57" xfId="8" applyNumberFormat="1" applyFont="1" applyFill="1" applyBorder="1" applyAlignment="1">
      <alignment horizontal="center" vertical="center"/>
    </xf>
    <xf numFmtId="0" fontId="94" fillId="20" borderId="0" xfId="0" applyFont="1" applyFill="1"/>
    <xf numFmtId="0" fontId="96" fillId="20" borderId="27" xfId="0" applyFont="1" applyFill="1" applyBorder="1" applyAlignment="1">
      <alignment horizontal="center"/>
    </xf>
    <xf numFmtId="0" fontId="96" fillId="20" borderId="79" xfId="0" applyFont="1" applyFill="1" applyBorder="1"/>
    <xf numFmtId="0" fontId="96" fillId="20" borderId="42" xfId="0" applyFont="1" applyFill="1" applyBorder="1"/>
    <xf numFmtId="0" fontId="96" fillId="20" borderId="80" xfId="0" applyFont="1" applyFill="1" applyBorder="1"/>
    <xf numFmtId="0" fontId="94" fillId="20" borderId="53" xfId="9" applyFont="1" applyFill="1" applyBorder="1" applyAlignment="1">
      <alignment horizontal="left" vertical="center"/>
    </xf>
    <xf numFmtId="0" fontId="94" fillId="20" borderId="28" xfId="0" applyFont="1" applyFill="1" applyBorder="1" applyAlignment="1">
      <alignment wrapText="1"/>
    </xf>
    <xf numFmtId="0" fontId="94" fillId="20" borderId="52" xfId="0" applyFont="1" applyFill="1" applyBorder="1" applyAlignment="1">
      <alignment wrapText="1"/>
    </xf>
    <xf numFmtId="0" fontId="94" fillId="20" borderId="53" xfId="0" applyFont="1" applyFill="1" applyBorder="1" applyAlignment="1">
      <alignment wrapText="1"/>
    </xf>
    <xf numFmtId="0" fontId="94" fillId="20" borderId="54" xfId="0" applyFont="1" applyFill="1" applyBorder="1" applyAlignment="1">
      <alignment wrapText="1"/>
    </xf>
    <xf numFmtId="0" fontId="97" fillId="20" borderId="54" xfId="0" applyFont="1" applyFill="1" applyBorder="1" applyAlignment="1">
      <alignment wrapText="1"/>
    </xf>
    <xf numFmtId="0" fontId="97" fillId="20" borderId="52" xfId="0" applyFont="1" applyFill="1" applyBorder="1" applyAlignment="1">
      <alignment wrapText="1"/>
    </xf>
    <xf numFmtId="0" fontId="94" fillId="20" borderId="12" xfId="9" applyFont="1" applyFill="1" applyBorder="1" applyAlignment="1">
      <alignment horizontal="left" vertical="center"/>
    </xf>
    <xf numFmtId="0" fontId="94" fillId="20" borderId="42" xfId="0" applyFont="1" applyFill="1" applyBorder="1" applyAlignment="1">
      <alignment horizontal="center"/>
    </xf>
    <xf numFmtId="174" fontId="94" fillId="20" borderId="13" xfId="0" applyNumberFormat="1" applyFont="1" applyFill="1" applyBorder="1"/>
    <xf numFmtId="0" fontId="94" fillId="15" borderId="46" xfId="0" applyFont="1" applyFill="1" applyBorder="1" applyAlignment="1">
      <alignment horizontal="center" vertical="center"/>
    </xf>
    <xf numFmtId="0" fontId="96" fillId="15" borderId="27" xfId="0" applyFont="1" applyFill="1" applyBorder="1" applyAlignment="1">
      <alignment horizontal="center" vertical="center"/>
    </xf>
    <xf numFmtId="164" fontId="96" fillId="15" borderId="46" xfId="8" applyNumberFormat="1" applyFont="1" applyFill="1" applyBorder="1" applyAlignment="1">
      <alignment horizontal="center" vertical="center"/>
    </xf>
    <xf numFmtId="164" fontId="96" fillId="15" borderId="13" xfId="8" applyNumberFormat="1" applyFont="1" applyFill="1" applyBorder="1" applyAlignment="1">
      <alignment horizontal="center" vertical="center"/>
    </xf>
    <xf numFmtId="164" fontId="96" fillId="15" borderId="47" xfId="8" applyNumberFormat="1" applyFont="1" applyFill="1" applyBorder="1" applyAlignment="1">
      <alignment horizontal="center" vertical="center"/>
    </xf>
    <xf numFmtId="179" fontId="96" fillId="15" borderId="12" xfId="8" applyNumberFormat="1" applyFont="1" applyFill="1" applyBorder="1" applyAlignment="1">
      <alignment horizontal="center" vertical="center"/>
    </xf>
    <xf numFmtId="0" fontId="94" fillId="20" borderId="16" xfId="9" applyFont="1" applyFill="1" applyBorder="1" applyAlignment="1">
      <alignment horizontal="left" vertical="center"/>
    </xf>
    <xf numFmtId="0" fontId="94" fillId="20" borderId="6" xfId="0" applyFont="1" applyFill="1" applyBorder="1" applyAlignment="1">
      <alignment horizontal="center"/>
    </xf>
    <xf numFmtId="174" fontId="94" fillId="20" borderId="8" xfId="0" applyNumberFormat="1" applyFont="1" applyFill="1" applyBorder="1"/>
    <xf numFmtId="181" fontId="94" fillId="20" borderId="49" xfId="0" applyNumberFormat="1" applyFont="1" applyFill="1" applyBorder="1" applyAlignment="1">
      <alignment horizontal="center" vertical="center"/>
    </xf>
    <xf numFmtId="167" fontId="94" fillId="20" borderId="31" xfId="0" applyNumberFormat="1" applyFont="1" applyFill="1" applyBorder="1" applyAlignment="1">
      <alignment horizontal="center" vertical="center"/>
    </xf>
    <xf numFmtId="164" fontId="94" fillId="20" borderId="49" xfId="8" applyNumberFormat="1" applyFont="1" applyFill="1" applyBorder="1" applyAlignment="1">
      <alignment horizontal="center" vertical="center"/>
    </xf>
    <xf numFmtId="179" fontId="94" fillId="20" borderId="49" xfId="8" applyNumberFormat="1" applyFont="1" applyFill="1" applyBorder="1" applyAlignment="1">
      <alignment horizontal="center" vertical="center"/>
    </xf>
    <xf numFmtId="0" fontId="94" fillId="20" borderId="44" xfId="0" applyFont="1" applyFill="1" applyBorder="1" applyAlignment="1">
      <alignment horizontal="center"/>
    </xf>
    <xf numFmtId="0" fontId="94" fillId="20" borderId="43" xfId="0" applyFont="1" applyFill="1" applyBorder="1" applyAlignment="1">
      <alignment horizontal="center"/>
    </xf>
    <xf numFmtId="181" fontId="96" fillId="20" borderId="49" xfId="0" applyNumberFormat="1" applyFont="1" applyFill="1" applyBorder="1" applyAlignment="1">
      <alignment horizontal="center" vertical="center"/>
    </xf>
    <xf numFmtId="167" fontId="96" fillId="20" borderId="31" xfId="0" applyNumberFormat="1" applyFont="1" applyFill="1" applyBorder="1" applyAlignment="1">
      <alignment horizontal="center" vertical="center"/>
    </xf>
    <xf numFmtId="164" fontId="96" fillId="20" borderId="49" xfId="8" applyNumberFormat="1" applyFont="1" applyFill="1" applyBorder="1" applyAlignment="1">
      <alignment horizontal="center" vertical="center"/>
    </xf>
    <xf numFmtId="164" fontId="96" fillId="20" borderId="8" xfId="8" applyNumberFormat="1" applyFont="1" applyFill="1" applyBorder="1" applyAlignment="1">
      <alignment horizontal="center" vertical="center"/>
    </xf>
    <xf numFmtId="164" fontId="96" fillId="20" borderId="55" xfId="8" applyNumberFormat="1" applyFont="1" applyFill="1" applyBorder="1" applyAlignment="1">
      <alignment horizontal="center" vertical="center"/>
    </xf>
    <xf numFmtId="179" fontId="96" fillId="20" borderId="16" xfId="8" applyNumberFormat="1" applyFont="1" applyFill="1" applyBorder="1" applyAlignment="1">
      <alignment horizontal="center" vertical="center"/>
    </xf>
    <xf numFmtId="0" fontId="94" fillId="22" borderId="16" xfId="9" applyFont="1" applyFill="1" applyBorder="1" applyAlignment="1">
      <alignment horizontal="left" vertical="center"/>
    </xf>
    <xf numFmtId="0" fontId="94" fillId="22" borderId="44" xfId="0" applyFont="1" applyFill="1" applyBorder="1" applyAlignment="1">
      <alignment horizontal="center"/>
    </xf>
    <xf numFmtId="174" fontId="94" fillId="22" borderId="8" xfId="0" applyNumberFormat="1" applyFont="1" applyFill="1" applyBorder="1"/>
    <xf numFmtId="181" fontId="94" fillId="22" borderId="49" xfId="0" applyNumberFormat="1" applyFont="1" applyFill="1" applyBorder="1" applyAlignment="1">
      <alignment horizontal="center" vertical="center"/>
    </xf>
    <xf numFmtId="168" fontId="94" fillId="22" borderId="49" xfId="0" applyNumberFormat="1" applyFont="1" applyFill="1" applyBorder="1" applyAlignment="1">
      <alignment horizontal="center" vertical="center"/>
    </xf>
    <xf numFmtId="164" fontId="94" fillId="22" borderId="49" xfId="8" applyNumberFormat="1" applyFont="1" applyFill="1" applyBorder="1" applyAlignment="1">
      <alignment horizontal="center" vertical="center"/>
    </xf>
    <xf numFmtId="164" fontId="94" fillId="22" borderId="8" xfId="8" applyNumberFormat="1" applyFont="1" applyFill="1" applyBorder="1" applyAlignment="1">
      <alignment horizontal="center" vertical="center"/>
    </xf>
    <xf numFmtId="164" fontId="94" fillId="22" borderId="55" xfId="8" applyNumberFormat="1" applyFont="1" applyFill="1" applyBorder="1" applyAlignment="1">
      <alignment horizontal="center" vertical="center"/>
    </xf>
    <xf numFmtId="179" fontId="94" fillId="22" borderId="16" xfId="8" applyNumberFormat="1" applyFont="1" applyFill="1" applyBorder="1" applyAlignment="1">
      <alignment horizontal="center" vertical="center"/>
    </xf>
    <xf numFmtId="0" fontId="94" fillId="22" borderId="48" xfId="9" applyFont="1" applyFill="1" applyBorder="1" applyAlignment="1">
      <alignment horizontal="left" vertical="center"/>
    </xf>
    <xf numFmtId="0" fontId="94" fillId="22" borderId="45" xfId="0" applyFont="1" applyFill="1" applyBorder="1" applyAlignment="1">
      <alignment horizontal="center"/>
    </xf>
    <xf numFmtId="174" fontId="94" fillId="22" borderId="25" xfId="0" applyNumberFormat="1" applyFont="1" applyFill="1" applyBorder="1"/>
    <xf numFmtId="181" fontId="94" fillId="22" borderId="85" xfId="0" applyNumberFormat="1" applyFont="1" applyFill="1" applyBorder="1" applyAlignment="1">
      <alignment horizontal="center" vertical="center"/>
    </xf>
    <xf numFmtId="168" fontId="94" fillId="22" borderId="85" xfId="0" applyNumberFormat="1" applyFont="1" applyFill="1" applyBorder="1" applyAlignment="1">
      <alignment horizontal="center" vertical="center"/>
    </xf>
    <xf numFmtId="164" fontId="94" fillId="22" borderId="85" xfId="8" applyNumberFormat="1" applyFont="1" applyFill="1" applyBorder="1" applyAlignment="1">
      <alignment horizontal="center" vertical="center"/>
    </xf>
    <xf numFmtId="164" fontId="94" fillId="22" borderId="25" xfId="8" applyNumberFormat="1" applyFont="1" applyFill="1" applyBorder="1" applyAlignment="1">
      <alignment horizontal="center" vertical="center"/>
    </xf>
    <xf numFmtId="164" fontId="94" fillId="22" borderId="56" xfId="8" applyNumberFormat="1" applyFont="1" applyFill="1" applyBorder="1" applyAlignment="1">
      <alignment horizontal="center" vertical="center"/>
    </xf>
    <xf numFmtId="179" fontId="94" fillId="22" borderId="48" xfId="8" applyNumberFormat="1" applyFont="1" applyFill="1" applyBorder="1" applyAlignment="1">
      <alignment horizontal="center" vertical="center"/>
    </xf>
    <xf numFmtId="1" fontId="5" fillId="17" borderId="9" xfId="0" applyNumberFormat="1" applyFont="1" applyFill="1" applyBorder="1" applyAlignment="1">
      <alignment horizontal="center" vertical="center" wrapText="1"/>
    </xf>
    <xf numFmtId="0" fontId="5" fillId="17" borderId="20" xfId="0" applyFont="1" applyFill="1" applyBorder="1" applyAlignment="1">
      <alignment horizontal="center" vertical="center" wrapText="1"/>
    </xf>
    <xf numFmtId="0" fontId="5" fillId="17" borderId="0" xfId="0" applyFont="1" applyFill="1" applyAlignment="1">
      <alignment horizontal="center" vertical="center" wrapText="1"/>
    </xf>
    <xf numFmtId="1" fontId="5" fillId="17" borderId="53" xfId="0" applyNumberFormat="1" applyFont="1" applyFill="1" applyBorder="1" applyAlignment="1">
      <alignment horizontal="center" vertical="center" wrapText="1"/>
    </xf>
    <xf numFmtId="0" fontId="5" fillId="17" borderId="12" xfId="0" applyFont="1" applyFill="1" applyBorder="1" applyAlignment="1">
      <alignment horizontal="left" vertical="center" wrapText="1"/>
    </xf>
    <xf numFmtId="1" fontId="99" fillId="0" borderId="47" xfId="1" applyNumberFormat="1" applyFont="1" applyFill="1" applyBorder="1" applyAlignment="1" applyProtection="1">
      <alignment horizontal="center" vertical="center"/>
      <protection locked="0"/>
    </xf>
    <xf numFmtId="0" fontId="5" fillId="17" borderId="48" xfId="0" applyFont="1" applyFill="1" applyBorder="1" applyAlignment="1">
      <alignment horizontal="left" vertical="center" wrapText="1"/>
    </xf>
    <xf numFmtId="0" fontId="5" fillId="17" borderId="19" xfId="0" applyFont="1" applyFill="1" applyBorder="1" applyAlignment="1">
      <alignment horizontal="left" vertical="center" wrapText="1"/>
    </xf>
    <xf numFmtId="0" fontId="5" fillId="17" borderId="19" xfId="0" applyFont="1" applyFill="1" applyBorder="1" applyAlignment="1">
      <alignment horizontal="left" vertical="center"/>
    </xf>
    <xf numFmtId="0" fontId="5" fillId="17" borderId="19" xfId="0" applyFont="1" applyFill="1" applyBorder="1" applyAlignment="1">
      <alignment vertical="center"/>
    </xf>
    <xf numFmtId="1" fontId="5" fillId="17" borderId="80" xfId="0" applyNumberFormat="1" applyFont="1" applyFill="1" applyBorder="1" applyAlignment="1">
      <alignment horizontal="center" vertical="center"/>
    </xf>
    <xf numFmtId="1" fontId="95" fillId="17" borderId="21" xfId="0" applyNumberFormat="1" applyFont="1" applyFill="1" applyBorder="1" applyAlignment="1">
      <alignment horizontal="left" vertical="center" wrapText="1"/>
    </xf>
    <xf numFmtId="1" fontId="5" fillId="17" borderId="36" xfId="0" applyNumberFormat="1" applyFont="1" applyFill="1" applyBorder="1" applyAlignment="1">
      <alignment horizontal="center" wrapText="1"/>
    </xf>
    <xf numFmtId="0" fontId="98" fillId="8" borderId="47" xfId="0" applyFont="1" applyFill="1" applyBorder="1" applyAlignment="1" applyProtection="1">
      <alignment horizontal="center" vertical="center"/>
      <protection locked="0"/>
    </xf>
    <xf numFmtId="0" fontId="98" fillId="8" borderId="59" xfId="0" applyFont="1" applyFill="1" applyBorder="1" applyAlignment="1" applyProtection="1">
      <alignment horizontal="center" vertical="center"/>
      <protection locked="0"/>
    </xf>
    <xf numFmtId="0" fontId="98" fillId="8" borderId="84" xfId="0" applyFont="1" applyFill="1" applyBorder="1" applyAlignment="1" applyProtection="1">
      <alignment horizontal="center" vertical="center"/>
      <protection locked="0"/>
    </xf>
    <xf numFmtId="0" fontId="4" fillId="17" borderId="20" xfId="0" applyFont="1" applyFill="1" applyBorder="1" applyAlignment="1">
      <alignment horizontal="center" vertical="center" wrapText="1"/>
    </xf>
    <xf numFmtId="0" fontId="100" fillId="8" borderId="56" xfId="0" applyFont="1" applyFill="1" applyBorder="1" applyAlignment="1" applyProtection="1">
      <alignment horizontal="center" vertical="center" wrapText="1"/>
      <protection locked="0"/>
    </xf>
    <xf numFmtId="0" fontId="2" fillId="30" borderId="0" xfId="0" applyFont="1" applyFill="1" applyAlignment="1">
      <alignment horizontal="left" vertical="top" wrapText="1"/>
    </xf>
    <xf numFmtId="9" fontId="4" fillId="17" borderId="14" xfId="0" applyNumberFormat="1" applyFont="1" applyFill="1" applyBorder="1" applyAlignment="1">
      <alignment wrapText="1"/>
    </xf>
    <xf numFmtId="9" fontId="4" fillId="17" borderId="0" xfId="0" applyNumberFormat="1" applyFont="1" applyFill="1" applyAlignment="1">
      <alignment wrapText="1"/>
    </xf>
    <xf numFmtId="0" fontId="4" fillId="17" borderId="0" xfId="0" applyFont="1" applyFill="1" applyAlignment="1">
      <alignment wrapText="1"/>
    </xf>
    <xf numFmtId="0" fontId="4" fillId="17" borderId="14" xfId="0" applyFont="1" applyFill="1" applyBorder="1" applyAlignment="1">
      <alignment vertical="center" wrapText="1"/>
    </xf>
    <xf numFmtId="0" fontId="4" fillId="17" borderId="0" xfId="0" applyFont="1" applyFill="1" applyAlignment="1">
      <alignment vertical="center" wrapText="1"/>
    </xf>
    <xf numFmtId="0" fontId="2" fillId="30" borderId="0" xfId="0" applyFont="1" applyFill="1" applyAlignment="1">
      <alignment horizontal="left" vertical="center"/>
    </xf>
    <xf numFmtId="0" fontId="2" fillId="30" borderId="4" xfId="0" applyFont="1" applyFill="1" applyBorder="1" applyAlignment="1">
      <alignment horizontal="left" vertical="center"/>
    </xf>
    <xf numFmtId="0" fontId="4" fillId="17" borderId="14" xfId="0" applyFont="1" applyFill="1" applyBorder="1" applyAlignment="1">
      <alignment horizontal="left" wrapText="1"/>
    </xf>
    <xf numFmtId="0" fontId="4" fillId="17" borderId="0" xfId="0" applyFont="1" applyFill="1" applyAlignment="1">
      <alignment horizontal="left" wrapText="1"/>
    </xf>
    <xf numFmtId="0" fontId="5" fillId="8" borderId="1" xfId="0" applyFont="1" applyFill="1" applyBorder="1" applyAlignment="1" applyProtection="1">
      <alignment horizontal="left" vertical="top" wrapText="1"/>
      <protection locked="0"/>
    </xf>
    <xf numFmtId="0" fontId="5" fillId="8" borderId="2" xfId="0" applyFont="1" applyFill="1" applyBorder="1" applyAlignment="1" applyProtection="1">
      <alignment horizontal="left" vertical="top" wrapText="1"/>
      <protection locked="0"/>
    </xf>
    <xf numFmtId="0" fontId="5" fillId="8" borderId="3"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5" fillId="8" borderId="5" xfId="0" applyFont="1" applyFill="1" applyBorder="1" applyAlignment="1" applyProtection="1">
      <alignment horizontal="left" vertical="top" wrapText="1"/>
      <protection locked="0"/>
    </xf>
    <xf numFmtId="0" fontId="5" fillId="8" borderId="7" xfId="0" applyFont="1" applyFill="1" applyBorder="1" applyAlignment="1" applyProtection="1">
      <alignment horizontal="left" vertical="top" wrapText="1"/>
      <protection locked="0"/>
    </xf>
    <xf numFmtId="0" fontId="31" fillId="30" borderId="0" xfId="0" applyFont="1" applyFill="1" applyAlignment="1" applyProtection="1">
      <alignment horizontal="center" vertical="center" wrapText="1"/>
      <protection locked="0"/>
    </xf>
    <xf numFmtId="0" fontId="45" fillId="30" borderId="0" xfId="0" applyFont="1" applyFill="1" applyAlignment="1">
      <alignment horizontal="left" vertical="center" wrapText="1"/>
    </xf>
    <xf numFmtId="0" fontId="2" fillId="30" borderId="0" xfId="0" applyFont="1" applyFill="1" applyAlignment="1">
      <alignment horizontal="right" vertical="top" wrapText="1"/>
    </xf>
    <xf numFmtId="164" fontId="4" fillId="17" borderId="0" xfId="8" applyNumberFormat="1" applyFont="1" applyFill="1" applyBorder="1" applyAlignment="1">
      <alignment horizontal="right"/>
    </xf>
    <xf numFmtId="164" fontId="4" fillId="17" borderId="21" xfId="8" applyNumberFormat="1" applyFont="1" applyFill="1" applyBorder="1" applyAlignment="1">
      <alignment horizontal="right"/>
    </xf>
    <xf numFmtId="0" fontId="6" fillId="30" borderId="45" xfId="0" applyFont="1" applyFill="1" applyBorder="1" applyAlignment="1">
      <alignment vertical="center" wrapText="1"/>
    </xf>
    <xf numFmtId="164" fontId="4" fillId="17" borderId="0" xfId="8" applyNumberFormat="1" applyFont="1" applyFill="1" applyBorder="1" applyAlignment="1">
      <alignment horizontal="right" vertical="top"/>
    </xf>
    <xf numFmtId="164" fontId="4" fillId="17" borderId="21" xfId="8" applyNumberFormat="1" applyFont="1" applyFill="1" applyBorder="1" applyAlignment="1">
      <alignment horizontal="right" vertical="top"/>
    </xf>
    <xf numFmtId="0" fontId="70" fillId="17" borderId="38" xfId="0" applyFont="1" applyFill="1" applyBorder="1" applyAlignment="1">
      <alignment vertical="center" wrapText="1"/>
    </xf>
    <xf numFmtId="0" fontId="70" fillId="17" borderId="39" xfId="0" applyFont="1" applyFill="1" applyBorder="1" applyAlignment="1">
      <alignment vertical="center" wrapText="1"/>
    </xf>
    <xf numFmtId="0" fontId="70" fillId="17" borderId="40" xfId="0" applyFont="1" applyFill="1" applyBorder="1" applyAlignment="1">
      <alignment vertical="center" wrapText="1"/>
    </xf>
    <xf numFmtId="0" fontId="6" fillId="30" borderId="1" xfId="0" applyFont="1" applyFill="1" applyBorder="1" applyAlignment="1">
      <alignment horizontal="center"/>
    </xf>
    <xf numFmtId="0" fontId="6" fillId="30" borderId="43" xfId="0" applyFont="1" applyFill="1" applyBorder="1" applyAlignment="1">
      <alignment horizontal="center"/>
    </xf>
    <xf numFmtId="0" fontId="6" fillId="30" borderId="2" xfId="0" applyFont="1" applyFill="1" applyBorder="1" applyAlignment="1">
      <alignment horizontal="center"/>
    </xf>
    <xf numFmtId="0" fontId="2" fillId="30" borderId="43" xfId="0" applyFont="1" applyFill="1" applyBorder="1" applyAlignment="1">
      <alignment horizontal="left" wrapText="1"/>
    </xf>
    <xf numFmtId="0" fontId="32" fillId="30" borderId="3" xfId="0" applyFont="1" applyFill="1" applyBorder="1" applyAlignment="1">
      <alignment horizontal="left" vertical="center" wrapText="1"/>
    </xf>
    <xf numFmtId="0" fontId="32" fillId="30" borderId="4" xfId="0" applyFont="1" applyFill="1" applyBorder="1" applyAlignment="1">
      <alignment horizontal="left" vertical="center" wrapText="1"/>
    </xf>
    <xf numFmtId="0" fontId="2" fillId="30" borderId="0" xfId="0" applyFont="1" applyFill="1" applyAlignment="1">
      <alignment vertical="center"/>
    </xf>
    <xf numFmtId="0" fontId="2" fillId="30" borderId="4" xfId="0" applyFont="1" applyFill="1" applyBorder="1" applyAlignment="1">
      <alignment vertical="center"/>
    </xf>
    <xf numFmtId="0" fontId="61" fillId="0" borderId="37" xfId="0" applyFont="1" applyBorder="1" applyAlignment="1" applyProtection="1">
      <alignment horizontal="left" vertical="center"/>
      <protection locked="0"/>
    </xf>
    <xf numFmtId="0" fontId="61" fillId="0" borderId="44" xfId="0" applyFont="1" applyBorder="1" applyAlignment="1" applyProtection="1">
      <alignment horizontal="left" vertical="center"/>
      <protection locked="0"/>
    </xf>
    <xf numFmtId="0" fontId="61" fillId="0" borderId="49" xfId="0" applyFont="1" applyBorder="1" applyAlignment="1" applyProtection="1">
      <alignment horizontal="left" vertical="center"/>
      <protection locked="0"/>
    </xf>
    <xf numFmtId="0" fontId="22" fillId="19" borderId="38" xfId="0" applyFont="1" applyFill="1" applyBorder="1" applyAlignment="1">
      <alignment vertical="center" wrapText="1"/>
    </xf>
    <xf numFmtId="0" fontId="22" fillId="19" borderId="39" xfId="0" applyFont="1" applyFill="1" applyBorder="1" applyAlignment="1">
      <alignment vertical="center" wrapText="1"/>
    </xf>
    <xf numFmtId="0" fontId="22" fillId="19" borderId="40" xfId="0" applyFont="1" applyFill="1" applyBorder="1" applyAlignment="1">
      <alignment vertical="center" wrapText="1"/>
    </xf>
    <xf numFmtId="0" fontId="4" fillId="20" borderId="38" xfId="0" applyFont="1" applyFill="1" applyBorder="1" applyAlignment="1">
      <alignment horizontal="left" vertical="center" wrapText="1"/>
    </xf>
    <xf numFmtId="0" fontId="4" fillId="20" borderId="39" xfId="0" applyFont="1" applyFill="1" applyBorder="1" applyAlignment="1">
      <alignment horizontal="left" vertical="center" wrapText="1"/>
    </xf>
    <xf numFmtId="0" fontId="5" fillId="20" borderId="14" xfId="0" applyFont="1" applyFill="1" applyBorder="1" applyAlignment="1">
      <alignment horizontal="left" vertical="center" wrapText="1"/>
    </xf>
    <xf numFmtId="0" fontId="5" fillId="20" borderId="0" xfId="0" applyFont="1" applyFill="1" applyAlignment="1">
      <alignment horizontal="left" vertical="center" wrapText="1"/>
    </xf>
    <xf numFmtId="164" fontId="12" fillId="19" borderId="68" xfId="8" applyNumberFormat="1" applyFont="1" applyFill="1" applyBorder="1" applyAlignment="1">
      <alignment horizontal="right"/>
    </xf>
    <xf numFmtId="164" fontId="12" fillId="19" borderId="69" xfId="8" applyNumberFormat="1" applyFont="1" applyFill="1" applyBorder="1" applyAlignment="1">
      <alignment horizontal="right"/>
    </xf>
    <xf numFmtId="164" fontId="11" fillId="19" borderId="0" xfId="8" applyNumberFormat="1" applyFont="1" applyFill="1" applyBorder="1" applyAlignment="1">
      <alignment horizontal="right"/>
    </xf>
    <xf numFmtId="164" fontId="11" fillId="19" borderId="21" xfId="8" applyNumberFormat="1" applyFont="1" applyFill="1" applyBorder="1" applyAlignment="1">
      <alignment horizontal="right"/>
    </xf>
    <xf numFmtId="164" fontId="4" fillId="17" borderId="68" xfId="8" applyNumberFormat="1" applyFont="1" applyFill="1" applyBorder="1" applyAlignment="1">
      <alignment horizontal="right"/>
    </xf>
    <xf numFmtId="164" fontId="4" fillId="17" borderId="69" xfId="8" applyNumberFormat="1" applyFont="1" applyFill="1" applyBorder="1" applyAlignment="1">
      <alignment horizontal="right"/>
    </xf>
    <xf numFmtId="0" fontId="4" fillId="17" borderId="14" xfId="0" applyFont="1" applyFill="1" applyBorder="1" applyAlignment="1">
      <alignment horizontal="left" vertical="center" wrapText="1"/>
    </xf>
    <xf numFmtId="0" fontId="4" fillId="17" borderId="0" xfId="0" applyFont="1" applyFill="1" applyAlignment="1">
      <alignment horizontal="left" vertical="center" wrapText="1"/>
    </xf>
    <xf numFmtId="164" fontId="4" fillId="17" borderId="0" xfId="0" applyNumberFormat="1" applyFont="1" applyFill="1" applyAlignment="1">
      <alignment horizontal="right" vertical="center" wrapText="1"/>
    </xf>
    <xf numFmtId="6" fontId="4" fillId="17" borderId="21" xfId="0" applyNumberFormat="1" applyFont="1" applyFill="1" applyBorder="1" applyAlignment="1">
      <alignment horizontal="right" vertical="center" wrapText="1"/>
    </xf>
    <xf numFmtId="164" fontId="4" fillId="17" borderId="35" xfId="8" applyNumberFormat="1" applyFont="1" applyFill="1" applyBorder="1" applyAlignment="1">
      <alignment horizontal="right" vertical="top"/>
    </xf>
    <xf numFmtId="164" fontId="4" fillId="17" borderId="36" xfId="8" applyNumberFormat="1" applyFont="1" applyFill="1" applyBorder="1" applyAlignment="1">
      <alignment horizontal="right" vertical="top"/>
    </xf>
    <xf numFmtId="0" fontId="33" fillId="20" borderId="14" xfId="0" applyFont="1" applyFill="1" applyBorder="1" applyAlignment="1">
      <alignment horizontal="left" vertical="center" wrapText="1"/>
    </xf>
    <xf numFmtId="0" fontId="33" fillId="20" borderId="0" xfId="0" applyFont="1" applyFill="1" applyAlignment="1">
      <alignment horizontal="left" vertical="center" wrapText="1"/>
    </xf>
    <xf numFmtId="0" fontId="4" fillId="17" borderId="4" xfId="0" applyFont="1" applyFill="1" applyBorder="1" applyAlignment="1">
      <alignment horizontal="left" vertical="center" wrapText="1"/>
    </xf>
    <xf numFmtId="0" fontId="22" fillId="17" borderId="38" xfId="0" applyFont="1" applyFill="1" applyBorder="1" applyAlignment="1">
      <alignment vertical="center" wrapText="1"/>
    </xf>
    <xf numFmtId="0" fontId="22" fillId="17" borderId="39" xfId="0" applyFont="1" applyFill="1" applyBorder="1" applyAlignment="1">
      <alignment vertical="center" wrapText="1"/>
    </xf>
    <xf numFmtId="0" fontId="22" fillId="17" borderId="40" xfId="0" applyFont="1" applyFill="1" applyBorder="1" applyAlignment="1">
      <alignment vertical="center" wrapText="1"/>
    </xf>
    <xf numFmtId="0" fontId="4" fillId="17" borderId="1" xfId="0" applyFont="1" applyFill="1" applyBorder="1" applyAlignment="1">
      <alignment horizontal="center" vertical="center"/>
    </xf>
    <xf numFmtId="0" fontId="4" fillId="17" borderId="2" xfId="0" applyFont="1" applyFill="1" applyBorder="1" applyAlignment="1">
      <alignment horizontal="center" vertical="center"/>
    </xf>
    <xf numFmtId="0" fontId="12" fillId="17" borderId="1" xfId="0" applyFont="1" applyFill="1" applyBorder="1" applyAlignment="1">
      <alignment horizontal="center" vertical="center"/>
    </xf>
    <xf numFmtId="0" fontId="12" fillId="17" borderId="2" xfId="0" applyFont="1" applyFill="1" applyBorder="1" applyAlignment="1">
      <alignment horizontal="center" vertical="center"/>
    </xf>
    <xf numFmtId="0" fontId="4" fillId="22" borderId="38" xfId="0" applyFont="1" applyFill="1" applyBorder="1" applyAlignment="1">
      <alignment horizontal="left" vertical="center" wrapText="1"/>
    </xf>
    <xf numFmtId="0" fontId="4" fillId="22" borderId="39" xfId="0" applyFont="1" applyFill="1" applyBorder="1" applyAlignment="1">
      <alignment horizontal="left" vertical="center" wrapText="1"/>
    </xf>
    <xf numFmtId="0" fontId="5" fillId="22" borderId="14" xfId="0" applyFont="1" applyFill="1" applyBorder="1" applyAlignment="1">
      <alignment horizontal="left" vertical="center" wrapText="1"/>
    </xf>
    <xf numFmtId="0" fontId="5" fillId="22" borderId="0" xfId="0" applyFont="1" applyFill="1" applyAlignment="1">
      <alignment horizontal="left" vertical="center" wrapText="1"/>
    </xf>
    <xf numFmtId="0" fontId="5" fillId="17" borderId="34" xfId="0" applyFont="1" applyFill="1" applyBorder="1" applyAlignment="1">
      <alignment horizontal="left" vertical="top" wrapText="1"/>
    </xf>
    <xf numFmtId="0" fontId="5" fillId="17" borderId="35" xfId="0" applyFont="1" applyFill="1" applyBorder="1" applyAlignment="1">
      <alignment horizontal="left" vertical="top" wrapText="1"/>
    </xf>
    <xf numFmtId="6" fontId="32" fillId="17" borderId="14" xfId="0" applyNumberFormat="1" applyFont="1" applyFill="1" applyBorder="1" applyAlignment="1">
      <alignment horizontal="right" vertical="center" wrapText="1"/>
    </xf>
    <xf numFmtId="6" fontId="32" fillId="17" borderId="0" xfId="0" applyNumberFormat="1" applyFont="1" applyFill="1" applyAlignment="1">
      <alignment horizontal="right" vertical="center" wrapText="1"/>
    </xf>
    <xf numFmtId="0" fontId="12" fillId="17" borderId="38" xfId="0" applyFont="1" applyFill="1" applyBorder="1" applyAlignment="1">
      <alignment horizontal="left" vertical="center" wrapText="1"/>
    </xf>
    <xf numFmtId="0" fontId="12" fillId="17" borderId="39" xfId="0" applyFont="1" applyFill="1" applyBorder="1" applyAlignment="1">
      <alignment horizontal="left" vertical="center" wrapText="1"/>
    </xf>
    <xf numFmtId="43" fontId="11" fillId="19" borderId="14" xfId="1" applyFont="1" applyFill="1" applyBorder="1" applyAlignment="1">
      <alignment horizontal="right" vertical="top" wrapText="1"/>
    </xf>
    <xf numFmtId="43" fontId="11" fillId="19" borderId="0" xfId="1" applyFont="1" applyFill="1" applyBorder="1" applyAlignment="1">
      <alignment horizontal="right" vertical="top" wrapText="1"/>
    </xf>
    <xf numFmtId="165" fontId="11" fillId="19" borderId="14" xfId="0" applyNumberFormat="1" applyFont="1" applyFill="1" applyBorder="1" applyAlignment="1">
      <alignment horizontal="right" vertical="top" wrapText="1"/>
    </xf>
    <xf numFmtId="165" fontId="11" fillId="19" borderId="0" xfId="0" applyNumberFormat="1" applyFont="1" applyFill="1" applyAlignment="1">
      <alignment horizontal="right" vertical="top" wrapText="1"/>
    </xf>
    <xf numFmtId="0" fontId="12" fillId="19" borderId="14" xfId="0" applyFont="1" applyFill="1" applyBorder="1" applyAlignment="1">
      <alignment horizontal="left" wrapText="1"/>
    </xf>
    <xf numFmtId="0" fontId="12" fillId="19" borderId="0" xfId="0" applyFont="1" applyFill="1" applyAlignment="1">
      <alignment horizontal="left" wrapText="1"/>
    </xf>
    <xf numFmtId="1" fontId="11" fillId="19" borderId="0" xfId="0" applyNumberFormat="1" applyFont="1" applyFill="1" applyAlignment="1">
      <alignment horizontal="left" vertical="top" wrapText="1"/>
    </xf>
    <xf numFmtId="0" fontId="11" fillId="19" borderId="0" xfId="0" applyFont="1" applyFill="1" applyAlignment="1">
      <alignment horizontal="left" vertical="top" wrapText="1"/>
    </xf>
    <xf numFmtId="0" fontId="5" fillId="17" borderId="0" xfId="0" applyFont="1" applyFill="1" applyAlignment="1">
      <alignment horizontal="left" wrapText="1"/>
    </xf>
    <xf numFmtId="0" fontId="5" fillId="17" borderId="43" xfId="0" applyFont="1" applyFill="1" applyBorder="1" applyAlignment="1">
      <alignment horizontal="left" vertical="top" wrapText="1"/>
    </xf>
    <xf numFmtId="0" fontId="5" fillId="17" borderId="0" xfId="0" applyFont="1" applyFill="1" applyAlignment="1">
      <alignment horizontal="left" vertical="top" wrapText="1"/>
    </xf>
    <xf numFmtId="0" fontId="5" fillId="17" borderId="6" xfId="0" applyFont="1" applyFill="1" applyBorder="1" applyAlignment="1">
      <alignment horizontal="left" vertical="top" wrapText="1"/>
    </xf>
    <xf numFmtId="0" fontId="6" fillId="17" borderId="3" xfId="0" applyFont="1" applyFill="1" applyBorder="1" applyAlignment="1">
      <alignment horizontal="center" vertical="center" wrapText="1"/>
    </xf>
    <xf numFmtId="0" fontId="6" fillId="17" borderId="0" xfId="0" applyFont="1" applyFill="1" applyAlignment="1">
      <alignment horizontal="center" vertical="center"/>
    </xf>
    <xf numFmtId="0" fontId="6" fillId="17" borderId="4" xfId="0" applyFont="1" applyFill="1" applyBorder="1" applyAlignment="1">
      <alignment horizontal="center" vertical="center"/>
    </xf>
    <xf numFmtId="0" fontId="4" fillId="17" borderId="74" xfId="0" applyFont="1" applyFill="1" applyBorder="1" applyAlignment="1">
      <alignment horizontal="left" vertical="center" wrapText="1"/>
    </xf>
    <xf numFmtId="0" fontId="4" fillId="17" borderId="57" xfId="0" applyFont="1" applyFill="1" applyBorder="1" applyAlignment="1">
      <alignment horizontal="left" vertical="center" wrapText="1"/>
    </xf>
    <xf numFmtId="0" fontId="4" fillId="17" borderId="17" xfId="0" applyFont="1" applyFill="1" applyBorder="1" applyAlignment="1">
      <alignment horizontal="left" vertical="center" wrapText="1"/>
    </xf>
    <xf numFmtId="0" fontId="21" fillId="17" borderId="39" xfId="0" applyFont="1" applyFill="1" applyBorder="1" applyAlignment="1">
      <alignment horizontal="left" vertical="center" wrapText="1"/>
    </xf>
    <xf numFmtId="0" fontId="47" fillId="24" borderId="0" xfId="7" applyFont="1" applyFill="1" applyAlignment="1">
      <alignment horizontal="center" vertical="center" textRotation="90" wrapText="1"/>
    </xf>
    <xf numFmtId="0" fontId="47" fillId="24" borderId="70" xfId="7" applyFont="1" applyFill="1" applyBorder="1" applyAlignment="1">
      <alignment horizontal="center" vertical="center" textRotation="90" wrapText="1"/>
    </xf>
    <xf numFmtId="0" fontId="48" fillId="24" borderId="71" xfId="7" applyFont="1" applyFill="1" applyBorder="1" applyAlignment="1">
      <alignment vertical="center" textRotation="90"/>
    </xf>
    <xf numFmtId="0" fontId="48" fillId="24" borderId="72" xfId="7" applyFont="1" applyFill="1" applyBorder="1" applyAlignment="1">
      <alignment vertical="center" textRotation="90"/>
    </xf>
    <xf numFmtId="0" fontId="25" fillId="4" borderId="0" xfId="7" applyFont="1" applyFill="1" applyAlignment="1">
      <alignment horizontal="left"/>
    </xf>
    <xf numFmtId="0" fontId="7" fillId="0" borderId="37" xfId="7" applyFont="1" applyBorder="1" applyAlignment="1" applyProtection="1">
      <alignment horizontal="center"/>
      <protection locked="0"/>
    </xf>
    <xf numFmtId="0" fontId="7" fillId="0" borderId="44" xfId="7" applyFont="1" applyBorder="1" applyAlignment="1" applyProtection="1">
      <alignment horizontal="center"/>
      <protection locked="0"/>
    </xf>
    <xf numFmtId="0" fontId="7" fillId="0" borderId="49" xfId="7" applyFont="1" applyBorder="1" applyAlignment="1" applyProtection="1">
      <alignment horizontal="center"/>
      <protection locked="0"/>
    </xf>
    <xf numFmtId="0" fontId="23" fillId="4" borderId="0" xfId="7" applyFill="1" applyAlignment="1">
      <alignment horizontal="left" wrapText="1"/>
    </xf>
    <xf numFmtId="0" fontId="23" fillId="0" borderId="1" xfId="7" applyBorder="1" applyAlignment="1" applyProtection="1">
      <alignment horizontal="left" vertical="top" wrapText="1"/>
      <protection locked="0"/>
    </xf>
    <xf numFmtId="0" fontId="23" fillId="0" borderId="43" xfId="7" applyBorder="1" applyAlignment="1" applyProtection="1">
      <alignment horizontal="left" vertical="top" wrapText="1"/>
      <protection locked="0"/>
    </xf>
    <xf numFmtId="0" fontId="23" fillId="0" borderId="2" xfId="7" applyBorder="1" applyAlignment="1" applyProtection="1">
      <alignment horizontal="left" vertical="top" wrapText="1"/>
      <protection locked="0"/>
    </xf>
    <xf numFmtId="0" fontId="23" fillId="0" borderId="3" xfId="7" applyBorder="1" applyAlignment="1" applyProtection="1">
      <alignment horizontal="left" vertical="top" wrapText="1"/>
      <protection locked="0"/>
    </xf>
    <xf numFmtId="0" fontId="23" fillId="0" borderId="0" xfId="7" applyAlignment="1" applyProtection="1">
      <alignment horizontal="left" vertical="top" wrapText="1"/>
      <protection locked="0"/>
    </xf>
    <xf numFmtId="0" fontId="23" fillId="0" borderId="4" xfId="7" applyBorder="1" applyAlignment="1" applyProtection="1">
      <alignment horizontal="left" vertical="top" wrapText="1"/>
      <protection locked="0"/>
    </xf>
    <xf numFmtId="0" fontId="23" fillId="0" borderId="5" xfId="7" applyBorder="1" applyAlignment="1" applyProtection="1">
      <alignment horizontal="left" vertical="top" wrapText="1"/>
      <protection locked="0"/>
    </xf>
    <xf numFmtId="0" fontId="23" fillId="0" borderId="6" xfId="7" applyBorder="1" applyAlignment="1" applyProtection="1">
      <alignment horizontal="left" vertical="top" wrapText="1"/>
      <protection locked="0"/>
    </xf>
    <xf numFmtId="0" fontId="23" fillId="0" borderId="7" xfId="7" applyBorder="1" applyAlignment="1" applyProtection="1">
      <alignment horizontal="left" vertical="top" wrapText="1"/>
      <protection locked="0"/>
    </xf>
    <xf numFmtId="0" fontId="23" fillId="27" borderId="37" xfId="7" applyFill="1" applyBorder="1" applyAlignment="1" applyProtection="1">
      <alignment horizontal="center"/>
      <protection locked="0"/>
    </xf>
    <xf numFmtId="0" fontId="23" fillId="27" borderId="44" xfId="7" applyFill="1" applyBorder="1" applyAlignment="1" applyProtection="1">
      <alignment horizontal="center"/>
      <protection locked="0"/>
    </xf>
    <xf numFmtId="0" fontId="23" fillId="27" borderId="49" xfId="7" applyFill="1" applyBorder="1" applyAlignment="1" applyProtection="1">
      <alignment horizontal="center"/>
      <protection locked="0"/>
    </xf>
    <xf numFmtId="0" fontId="7" fillId="27" borderId="37" xfId="7" applyFont="1" applyFill="1" applyBorder="1" applyAlignment="1" applyProtection="1">
      <alignment horizontal="center" vertical="center"/>
      <protection locked="0"/>
    </xf>
    <xf numFmtId="0" fontId="7" fillId="27" borderId="44" xfId="7" applyFont="1" applyFill="1" applyBorder="1" applyAlignment="1" applyProtection="1">
      <alignment horizontal="center" vertical="center"/>
      <protection locked="0"/>
    </xf>
    <xf numFmtId="0" fontId="7" fillId="27" borderId="49" xfId="7" applyFont="1" applyFill="1" applyBorder="1" applyAlignment="1" applyProtection="1">
      <alignment horizontal="center" vertical="center"/>
      <protection locked="0"/>
    </xf>
    <xf numFmtId="0" fontId="0" fillId="8" borderId="37" xfId="0" applyFill="1" applyBorder="1" applyAlignment="1">
      <alignment horizontal="center"/>
    </xf>
    <xf numFmtId="0" fontId="0" fillId="8" borderId="49" xfId="0" applyFill="1" applyBorder="1" applyAlignment="1">
      <alignment horizontal="center"/>
    </xf>
    <xf numFmtId="0" fontId="0" fillId="8" borderId="0" xfId="0" applyFill="1" applyAlignment="1">
      <alignment horizontal="left"/>
    </xf>
    <xf numFmtId="0" fontId="0" fillId="8" borderId="0" xfId="0" applyFill="1" applyAlignment="1">
      <alignment horizontal="center"/>
    </xf>
    <xf numFmtId="0" fontId="0" fillId="8" borderId="53" xfId="0" applyFill="1" applyBorder="1" applyAlignment="1">
      <alignment horizontal="center"/>
    </xf>
    <xf numFmtId="0" fontId="0" fillId="8" borderId="9" xfId="0" applyFill="1" applyBorder="1" applyAlignment="1">
      <alignment horizontal="center"/>
    </xf>
    <xf numFmtId="166" fontId="36" fillId="8" borderId="8" xfId="1" applyNumberFormat="1" applyFont="1" applyFill="1" applyBorder="1" applyAlignment="1" applyProtection="1">
      <alignment horizontal="center" vertical="top" wrapText="1"/>
    </xf>
    <xf numFmtId="0" fontId="0" fillId="8" borderId="0" xfId="0" applyFill="1" applyAlignment="1">
      <alignment horizontal="left" vertical="top" wrapText="1"/>
    </xf>
    <xf numFmtId="49" fontId="1" fillId="12" borderId="10" xfId="0" applyNumberFormat="1" applyFont="1" applyFill="1" applyBorder="1" applyAlignment="1">
      <alignment horizontal="right" vertical="center" wrapText="1"/>
    </xf>
    <xf numFmtId="49" fontId="1" fillId="12" borderId="22" xfId="0" applyNumberFormat="1" applyFont="1" applyFill="1" applyBorder="1" applyAlignment="1">
      <alignment horizontal="right" vertical="center" wrapText="1"/>
    </xf>
    <xf numFmtId="49" fontId="1" fillId="12" borderId="11" xfId="0" applyNumberFormat="1" applyFont="1" applyFill="1" applyBorder="1" applyAlignment="1">
      <alignment horizontal="right" vertical="center" wrapText="1"/>
    </xf>
    <xf numFmtId="49" fontId="1" fillId="12" borderId="10" xfId="0" applyNumberFormat="1" applyFont="1" applyFill="1" applyBorder="1" applyAlignment="1">
      <alignment horizontal="right" vertical="center"/>
    </xf>
    <xf numFmtId="49" fontId="1" fillId="12" borderId="11" xfId="0" applyNumberFormat="1" applyFont="1" applyFill="1" applyBorder="1" applyAlignment="1">
      <alignment horizontal="righ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1" fillId="9" borderId="10" xfId="0" applyFont="1" applyFill="1" applyBorder="1" applyAlignment="1">
      <alignment horizontal="right" vertical="center"/>
    </xf>
    <xf numFmtId="0" fontId="1" fillId="9" borderId="11" xfId="0" applyFont="1" applyFill="1" applyBorder="1" applyAlignment="1">
      <alignment horizontal="right" vertical="center"/>
    </xf>
    <xf numFmtId="49" fontId="1" fillId="16" borderId="10" xfId="0" applyNumberFormat="1" applyFont="1" applyFill="1" applyBorder="1" applyAlignment="1">
      <alignment horizontal="right" vertical="center"/>
    </xf>
    <xf numFmtId="49" fontId="1" fillId="16" borderId="11" xfId="0" applyNumberFormat="1" applyFont="1" applyFill="1" applyBorder="1" applyAlignment="1">
      <alignment horizontal="right" vertical="center"/>
    </xf>
    <xf numFmtId="49" fontId="1" fillId="16" borderId="10" xfId="0" applyNumberFormat="1" applyFont="1" applyFill="1" applyBorder="1" applyAlignment="1">
      <alignment horizontal="right" vertical="center" wrapText="1"/>
    </xf>
    <xf numFmtId="49" fontId="3" fillId="28" borderId="61" xfId="5" applyNumberFormat="1" applyFont="1" applyFill="1" applyBorder="1" applyAlignment="1">
      <alignment horizontal="center" vertical="center" wrapText="1"/>
    </xf>
    <xf numFmtId="49" fontId="3" fillId="28" borderId="44" xfId="5" applyNumberFormat="1" applyFont="1" applyFill="1" applyBorder="1" applyAlignment="1">
      <alignment horizontal="center" vertical="center" wrapText="1"/>
    </xf>
    <xf numFmtId="49" fontId="3" fillId="28" borderId="50" xfId="5" applyNumberFormat="1" applyFont="1" applyFill="1" applyBorder="1" applyAlignment="1">
      <alignment horizontal="center" vertical="center" wrapText="1"/>
    </xf>
    <xf numFmtId="49" fontId="3" fillId="14" borderId="10" xfId="0" applyNumberFormat="1" applyFont="1" applyFill="1" applyBorder="1" applyAlignment="1">
      <alignment horizontal="right" vertical="center"/>
    </xf>
    <xf numFmtId="49" fontId="3" fillId="14" borderId="11" xfId="0" applyNumberFormat="1" applyFont="1" applyFill="1" applyBorder="1" applyAlignment="1">
      <alignment horizontal="right" vertical="center"/>
    </xf>
    <xf numFmtId="0" fontId="0" fillId="26" borderId="37" xfId="0" applyFill="1" applyBorder="1" applyAlignment="1">
      <alignment horizontal="center"/>
    </xf>
    <xf numFmtId="0" fontId="0" fillId="26" borderId="44" xfId="0" applyFill="1" applyBorder="1" applyAlignment="1">
      <alignment horizontal="center"/>
    </xf>
    <xf numFmtId="0" fontId="0" fillId="15" borderId="37" xfId="0" applyFill="1" applyBorder="1" applyAlignment="1">
      <alignment horizontal="center"/>
    </xf>
    <xf numFmtId="0" fontId="0" fillId="15" borderId="49" xfId="0" applyFill="1" applyBorder="1" applyAlignment="1">
      <alignment horizontal="center"/>
    </xf>
    <xf numFmtId="0" fontId="0" fillId="15" borderId="6" xfId="0" applyFill="1" applyBorder="1" applyAlignment="1">
      <alignment horizontal="center" vertical="top" wrapText="1"/>
    </xf>
    <xf numFmtId="0" fontId="0" fillId="26" borderId="49" xfId="0" applyFill="1" applyBorder="1" applyAlignment="1">
      <alignment horizontal="center"/>
    </xf>
    <xf numFmtId="0" fontId="80" fillId="20" borderId="79" xfId="0" applyFont="1" applyFill="1" applyBorder="1" applyAlignment="1">
      <alignment horizontal="center"/>
    </xf>
    <xf numFmtId="0" fontId="80" fillId="20" borderId="42" xfId="0" applyFont="1" applyFill="1" applyBorder="1" applyAlignment="1">
      <alignment horizontal="center"/>
    </xf>
    <xf numFmtId="0" fontId="80" fillId="20" borderId="80" xfId="0" applyFont="1" applyFill="1" applyBorder="1" applyAlignment="1">
      <alignment horizontal="center"/>
    </xf>
    <xf numFmtId="0" fontId="96" fillId="20" borderId="38" xfId="0" applyFont="1" applyFill="1" applyBorder="1" applyAlignment="1">
      <alignment horizontal="center"/>
    </xf>
    <xf numFmtId="0" fontId="96" fillId="20" borderId="40" xfId="0" applyFont="1" applyFill="1" applyBorder="1" applyAlignment="1">
      <alignment horizontal="center"/>
    </xf>
    <xf numFmtId="0" fontId="96" fillId="20" borderId="14" xfId="0" applyFont="1" applyFill="1" applyBorder="1" applyAlignment="1">
      <alignment horizontal="center"/>
    </xf>
    <xf numFmtId="0" fontId="96" fillId="20" borderId="21" xfId="0" applyFont="1" applyFill="1" applyBorder="1" applyAlignment="1">
      <alignment horizontal="center"/>
    </xf>
    <xf numFmtId="0" fontId="96" fillId="20" borderId="34" xfId="0" applyFont="1" applyFill="1" applyBorder="1" applyAlignment="1">
      <alignment horizontal="center"/>
    </xf>
    <xf numFmtId="0" fontId="96" fillId="20" borderId="36" xfId="0" applyFont="1" applyFill="1" applyBorder="1" applyAlignment="1">
      <alignment horizontal="center"/>
    </xf>
    <xf numFmtId="0" fontId="96" fillId="20" borderId="79" xfId="0" applyFont="1" applyFill="1" applyBorder="1" applyAlignment="1">
      <alignment horizontal="center"/>
    </xf>
    <xf numFmtId="0" fontId="96" fillId="20" borderId="42" xfId="0" applyFont="1" applyFill="1" applyBorder="1" applyAlignment="1">
      <alignment horizontal="center"/>
    </xf>
    <xf numFmtId="0" fontId="96" fillId="20" borderId="80" xfId="0" applyFont="1" applyFill="1" applyBorder="1" applyAlignment="1">
      <alignment horizontal="center"/>
    </xf>
    <xf numFmtId="0" fontId="50" fillId="20" borderId="0" xfId="0" applyFont="1" applyFill="1" applyAlignment="1">
      <alignment horizontal="left" vertical="center" wrapText="1"/>
    </xf>
    <xf numFmtId="0" fontId="72" fillId="20" borderId="10" xfId="0" applyFont="1" applyFill="1" applyBorder="1" applyAlignment="1">
      <alignment horizontal="center" vertical="center"/>
    </xf>
    <xf numFmtId="0" fontId="72" fillId="20" borderId="22" xfId="0" applyFont="1" applyFill="1" applyBorder="1" applyAlignment="1">
      <alignment horizontal="center" vertical="center"/>
    </xf>
    <xf numFmtId="0" fontId="72" fillId="20" borderId="24" xfId="0" applyFont="1" applyFill="1" applyBorder="1" applyAlignment="1">
      <alignment horizontal="center" vertical="center"/>
    </xf>
    <xf numFmtId="0" fontId="72" fillId="31" borderId="39" xfId="0" applyFont="1" applyFill="1" applyBorder="1" applyAlignment="1">
      <alignment horizontal="center"/>
    </xf>
    <xf numFmtId="0" fontId="72" fillId="31" borderId="40" xfId="0" applyFont="1" applyFill="1" applyBorder="1" applyAlignment="1">
      <alignment horizontal="center"/>
    </xf>
    <xf numFmtId="0" fontId="72" fillId="31" borderId="35" xfId="0" applyFont="1" applyFill="1" applyBorder="1" applyAlignment="1">
      <alignment horizontal="center"/>
    </xf>
    <xf numFmtId="0" fontId="72" fillId="31" borderId="36" xfId="0" applyFont="1" applyFill="1" applyBorder="1" applyAlignment="1">
      <alignment horizontal="center"/>
    </xf>
  </cellXfs>
  <cellStyles count="10">
    <cellStyle name="Komma" xfId="1" builtinId="3"/>
    <cellStyle name="Link" xfId="2" builtinId="8"/>
    <cellStyle name="Prozent" xfId="3" builtinId="5"/>
    <cellStyle name="Prozent 2" xfId="4" xr:uid="{00000000-0005-0000-0000-000003000000}"/>
    <cellStyle name="Standard" xfId="0" builtinId="0"/>
    <cellStyle name="Standard 11" xfId="9" xr:uid="{00000000-0005-0000-0000-000005000000}"/>
    <cellStyle name="Standard 2" xfId="5" xr:uid="{00000000-0005-0000-0000-000006000000}"/>
    <cellStyle name="Standard 3" xfId="6" xr:uid="{00000000-0005-0000-0000-000007000000}"/>
    <cellStyle name="Standard 4" xfId="7" xr:uid="{00000000-0005-0000-0000-000008000000}"/>
    <cellStyle name="Währung" xfId="8" builtinId="4"/>
  </cellStyles>
  <dxfs count="114">
    <dxf>
      <fill>
        <patternFill>
          <bgColor rgb="FF92D050"/>
        </patternFill>
      </fill>
    </dxf>
    <dxf>
      <font>
        <color theme="4" tint="0.79998168889431442"/>
      </font>
      <fill>
        <patternFill>
          <bgColor theme="4" tint="0.79998168889431442"/>
        </patternFill>
      </fill>
      <border>
        <left/>
        <right/>
        <top/>
        <bottom/>
        <vertical/>
        <horizontal/>
      </border>
    </dxf>
    <dxf>
      <fill>
        <patternFill>
          <bgColor theme="0" tint="-0.34998626667073579"/>
        </patternFill>
      </fill>
    </dxf>
    <dxf>
      <fill>
        <patternFill>
          <bgColor theme="0" tint="-0.34998626667073579"/>
        </patternFill>
      </fill>
    </dxf>
    <dxf>
      <font>
        <color rgb="FFFFFF99"/>
      </font>
      <fill>
        <patternFill>
          <bgColor rgb="FFFFFF99"/>
        </patternFill>
      </fill>
      <border>
        <left/>
        <right/>
        <top/>
        <bottom/>
      </border>
    </dxf>
    <dxf>
      <font>
        <color rgb="FFFFFF99"/>
      </font>
      <fill>
        <patternFill>
          <bgColor rgb="FFFFFF99"/>
        </patternFill>
      </fill>
      <border>
        <left/>
        <right/>
        <top/>
        <bottom/>
      </border>
    </dxf>
    <dxf>
      <font>
        <color rgb="FFFFFF99"/>
      </font>
      <fill>
        <patternFill>
          <bgColor rgb="FFFFFF99"/>
        </patternFill>
      </fill>
      <border>
        <left/>
        <right/>
        <top/>
        <bottom/>
      </border>
    </dxf>
    <dxf>
      <font>
        <b val="0"/>
        <condense val="0"/>
        <extend val="0"/>
        <color indexed="8"/>
      </font>
    </dxf>
    <dxf>
      <font>
        <b val="0"/>
        <condense val="0"/>
        <extend val="0"/>
        <color indexed="8"/>
      </font>
    </dxf>
    <dxf>
      <font>
        <b/>
        <i val="0"/>
        <color rgb="FFC00000"/>
      </font>
    </dxf>
    <dxf>
      <font>
        <color rgb="FFFFFFCC"/>
      </font>
      <fill>
        <patternFill>
          <bgColor rgb="FFFFFFCC"/>
        </patternFill>
      </fill>
    </dxf>
    <dxf>
      <fill>
        <patternFill>
          <bgColor theme="5" tint="0.39994506668294322"/>
        </patternFill>
      </fill>
    </dxf>
    <dxf>
      <font>
        <color rgb="FFFFFFCC"/>
      </font>
      <fill>
        <patternFill>
          <bgColor rgb="FFFFFFCC"/>
        </patternFill>
      </fill>
    </dxf>
    <dxf>
      <fill>
        <patternFill>
          <bgColor theme="5" tint="0.59996337778862885"/>
        </patternFill>
      </fill>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FFCC"/>
      </font>
      <fill>
        <patternFill>
          <bgColor rgb="FFFFFFCC"/>
        </patternFill>
      </fill>
      <border>
        <left style="hair">
          <color rgb="FFFFFFCC"/>
        </left>
        <right style="hair">
          <color rgb="FFFFFFCC"/>
        </right>
        <top style="hair">
          <color rgb="FFFFFFCC"/>
        </top>
        <bottom style="hair">
          <color rgb="FFFFFFCC"/>
        </bottom>
      </border>
    </dxf>
    <dxf>
      <font>
        <color rgb="FFFFFFCC"/>
      </font>
      <fill>
        <patternFill>
          <bgColor rgb="FFFFFFCC"/>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rgb="FFFFFF00"/>
      </font>
      <fill>
        <patternFill>
          <bgColor rgb="FFFF0000"/>
        </patternFill>
      </fill>
    </dxf>
    <dxf>
      <font>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color rgb="FFFF0000"/>
      </font>
      <fill>
        <patternFill>
          <bgColor rgb="FFFFFF00"/>
        </patternFill>
      </fill>
    </dxf>
    <dxf>
      <font>
        <color rgb="FFFFFFCC"/>
      </font>
    </dxf>
    <dxf>
      <font>
        <color rgb="FFFFFF99"/>
      </font>
    </dxf>
    <dxf>
      <font>
        <color theme="4" tint="0.79998168889431442"/>
      </font>
    </dxf>
    <dxf>
      <font>
        <color theme="6" tint="0.79998168889431442"/>
      </font>
    </dxf>
    <dxf>
      <font>
        <color rgb="FFCCFFCC"/>
      </font>
      <fill>
        <patternFill>
          <bgColor rgb="FFCCFFCC"/>
        </patternFill>
      </fill>
      <border>
        <left/>
        <right/>
        <top/>
        <bottom/>
        <vertical/>
        <horizontal/>
      </border>
    </dxf>
    <dxf>
      <font>
        <color theme="4" tint="-0.24994659260841701"/>
      </font>
      <fill>
        <patternFill>
          <bgColor theme="0"/>
        </patternFill>
      </fill>
      <border>
        <left style="thin">
          <color auto="1"/>
        </left>
        <right style="thin">
          <color auto="1"/>
        </right>
        <top style="thin">
          <color auto="1"/>
        </top>
        <bottom style="thin">
          <color auto="1"/>
        </bottom>
        <vertical/>
        <horizontal/>
      </border>
    </dxf>
    <dxf>
      <font>
        <color theme="0" tint="-0.24994659260841701"/>
      </font>
      <fill>
        <patternFill>
          <bgColor rgb="FFCCFFCC"/>
        </patternFill>
      </fill>
      <border>
        <left/>
        <right/>
        <top/>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theme="4" tint="-0.24994659260841701"/>
      </font>
      <fill>
        <patternFill>
          <bgColor theme="5" tint="0.59996337778862885"/>
        </patternFill>
      </fill>
      <border>
        <left style="thin">
          <color auto="1"/>
        </left>
        <right style="thin">
          <color auto="1"/>
        </right>
        <top style="thin">
          <color auto="1"/>
        </top>
        <bottom style="thin">
          <color auto="1"/>
        </bottom>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theme="5" tint="0.59996337778862885"/>
        </patternFill>
      </fill>
      <border>
        <left style="thin">
          <color auto="1"/>
        </left>
        <right style="thin">
          <color auto="1"/>
        </right>
        <top style="thin">
          <color auto="1"/>
        </top>
        <bottom style="thin">
          <color auto="1"/>
        </bottom>
      </border>
    </dxf>
    <dxf>
      <fill>
        <patternFill>
          <bgColor theme="5" tint="0.59996337778862885"/>
        </patternFill>
      </fill>
    </dxf>
    <dxf>
      <font>
        <color theme="3"/>
      </font>
      <fill>
        <patternFill patternType="none">
          <bgColor indexed="65"/>
        </patternFill>
      </fill>
    </dxf>
    <dxf>
      <font>
        <color theme="4" tint="-0.24994659260841701"/>
        <name val="Cambria"/>
        <scheme val="none"/>
      </font>
      <fill>
        <patternFill>
          <bgColor theme="5" tint="0.59996337778862885"/>
        </patternFill>
      </fill>
    </dxf>
    <dxf>
      <font>
        <color rgb="FFCCFFCC"/>
      </font>
      <fill>
        <patternFill>
          <bgColor rgb="FFCCFFCC"/>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5" tint="0.59996337778862885"/>
        </patternFill>
      </fill>
    </dxf>
    <dxf>
      <fill>
        <patternFill>
          <bgColor theme="5" tint="0.59996337778862885"/>
        </patternFill>
      </fill>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FFFFCC"/>
      </font>
    </dxf>
    <dxf>
      <fill>
        <patternFill>
          <bgColor theme="0"/>
        </patternFill>
      </fill>
      <border>
        <left style="thin">
          <color auto="1"/>
        </left>
        <right style="thin">
          <color auto="1"/>
        </right>
        <top style="thin">
          <color auto="1"/>
        </top>
        <bottom style="thin">
          <color auto="1"/>
        </bottom>
      </border>
    </dxf>
    <dxf>
      <font>
        <color auto="1"/>
      </font>
      <fill>
        <patternFill>
          <bgColor rgb="FFCCFFCC"/>
        </patternFill>
      </fill>
      <border>
        <left style="thin">
          <color rgb="FFCCFFCC"/>
        </left>
        <right style="thin">
          <color rgb="FFCCFFCC"/>
        </right>
        <top style="thin">
          <color rgb="FFCCFFCC"/>
        </top>
        <bottom style="thin">
          <color rgb="FFCCFFCC"/>
        </bottom>
      </border>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0" tint="-0.34998626667073579"/>
      </font>
    </dxf>
    <dxf>
      <font>
        <color theme="0" tint="-0.24994659260841701"/>
      </font>
      <fill>
        <patternFill>
          <bgColor rgb="FFCCFFCC"/>
        </patternFill>
      </fill>
      <border>
        <left/>
        <right/>
        <top/>
        <bottom/>
        <vertical/>
        <horizontal/>
      </border>
    </dxf>
    <dxf>
      <font>
        <color rgb="FFCCFFCC"/>
      </font>
      <fill>
        <patternFill>
          <bgColor rgb="FFCCFFCC"/>
        </patternFill>
      </fill>
      <border>
        <left/>
        <right/>
        <top/>
        <bottom/>
        <vertical/>
        <horizontal/>
      </border>
    </dxf>
    <dxf>
      <font>
        <color rgb="FFCCFFCC"/>
      </font>
      <fill>
        <patternFill>
          <bgColor rgb="FFCCFFCC"/>
        </patternFill>
      </fill>
      <border>
        <left/>
        <right/>
        <top/>
        <bottom/>
        <vertical/>
        <horizontal/>
      </border>
    </dxf>
    <dxf>
      <font>
        <color theme="4" tint="-0.24994659260841701"/>
      </font>
      <fill>
        <patternFill>
          <bgColor theme="0"/>
        </patternFill>
      </fill>
      <border>
        <left style="thin">
          <color auto="1"/>
        </left>
        <right style="thin">
          <color auto="1"/>
        </right>
        <top style="thin">
          <color auto="1"/>
        </top>
        <bottom style="thin">
          <color auto="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theme="4" tint="-0.24994659260841701"/>
      </font>
      <fill>
        <patternFill>
          <bgColor theme="5" tint="0.59996337778862885"/>
        </patternFill>
      </fill>
      <border>
        <left style="thin">
          <color auto="1"/>
        </left>
        <right style="thin">
          <color auto="1"/>
        </right>
        <top style="thin">
          <color auto="1"/>
        </top>
        <bottom style="thin">
          <color auto="1"/>
        </bottom>
      </border>
    </dxf>
    <dxf>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4" tint="-0.24994659260841701"/>
      </font>
      <fill>
        <patternFill>
          <bgColor theme="5" tint="0.59996337778862885"/>
        </patternFill>
      </fill>
    </dxf>
    <dxf>
      <fill>
        <patternFill>
          <bgColor theme="5" tint="0.59996337778862885"/>
        </patternFill>
      </fill>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theme="4" tint="-0.499984740745262"/>
      </font>
      <fill>
        <patternFill>
          <bgColor theme="5" tint="0.59996337778862885"/>
        </patternFill>
      </fill>
      <border>
        <left style="thin">
          <color auto="1"/>
        </left>
        <right style="thin">
          <color auto="1"/>
        </right>
        <top style="thin">
          <color auto="1"/>
        </top>
        <bottom style="thin">
          <color auto="1"/>
        </bottom>
      </border>
    </dxf>
    <dxf>
      <font>
        <color theme="4" tint="-0.499984740745262"/>
      </font>
      <fill>
        <patternFill>
          <bgColor theme="5" tint="0.59996337778862885"/>
        </patternFill>
      </fill>
      <border>
        <left style="thin">
          <color theme="1"/>
        </left>
        <right style="thin">
          <color theme="1"/>
        </right>
        <top style="thin">
          <color theme="1"/>
        </top>
        <bottom style="thin">
          <color theme="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theme="0" tint="-0.24994659260841701"/>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theme="5" tint="0.59996337778862885"/>
        </patternFill>
      </fill>
      <border>
        <left style="thin">
          <color auto="1"/>
        </left>
        <right style="thin">
          <color auto="1"/>
        </right>
        <top style="thin">
          <color auto="1"/>
        </top>
        <bottom style="thin">
          <color auto="1"/>
        </bottom>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ont>
        <color rgb="FFCCFFCC"/>
      </font>
      <fill>
        <patternFill>
          <bgColor rgb="FFCCFFCC"/>
        </pattern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bgColor theme="5" tint="0.59996337778862885"/>
        </patternFill>
      </fill>
    </dxf>
    <dxf>
      <fill>
        <patternFill>
          <bgColor theme="5" tint="0.59996337778862885"/>
        </patternFill>
      </fill>
    </dxf>
    <dxf>
      <font>
        <color theme="4" tint="-0.24994659260841701"/>
        <name val="Cambria"/>
        <scheme val="none"/>
      </font>
      <fill>
        <patternFill>
          <bgColor theme="5" tint="0.59996337778862885"/>
        </patternFill>
      </fill>
    </dxf>
    <dxf>
      <font>
        <color rgb="FFCCFFCC"/>
      </font>
      <fill>
        <patternFill>
          <bgColor rgb="FFCCFFCC"/>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3"/>
      </font>
      <fill>
        <patternFill patternType="none">
          <bgColor indexed="65"/>
        </patternFill>
      </fill>
    </dxf>
    <dxf>
      <font>
        <color theme="4" tint="-0.499984740745262"/>
      </font>
      <fill>
        <patternFill>
          <bgColor theme="5" tint="0.59996337778862885"/>
        </patternFill>
      </fill>
    </dxf>
    <dxf>
      <fill>
        <patternFill>
          <bgColor theme="5" tint="0.59996337778862885"/>
        </patternFill>
      </fill>
    </dxf>
    <dxf>
      <font>
        <color rgb="FFCCFFCC"/>
      </font>
      <fill>
        <patternFill patternType="solid">
          <bgColor rgb="FFCCFFCC"/>
        </patternFill>
      </fill>
      <border>
        <left/>
        <right/>
        <top/>
        <bottom/>
      </border>
    </dxf>
    <dxf>
      <font>
        <color theme="0" tint="-0.24994659260841701"/>
      </font>
      <fill>
        <patternFill>
          <bgColor rgb="FFCCFFCC"/>
        </patternFill>
      </fill>
      <border>
        <left/>
        <right/>
        <top/>
        <bottom/>
        <vertical/>
        <horizontal/>
      </border>
    </dxf>
    <dxf>
      <fill>
        <patternFill>
          <bgColor theme="5" tint="0.59996337778862885"/>
        </patternFill>
      </fill>
    </dxf>
    <dxf>
      <fill>
        <patternFill>
          <bgColor theme="5" tint="0.59996337778862885"/>
        </patternFill>
      </fill>
    </dxf>
    <dxf>
      <font>
        <color rgb="FFFFFFCC"/>
      </font>
      <fill>
        <patternFill>
          <bgColor rgb="FFFFFFCC"/>
        </patternFill>
      </fill>
    </dxf>
    <dxf>
      <font>
        <color theme="5" tint="0.79998168889431442"/>
      </font>
      <fill>
        <patternFill>
          <bgColor theme="5" tint="0.79998168889431442"/>
        </patternFill>
      </fill>
      <border>
        <left/>
        <right/>
        <top/>
        <bottom/>
      </border>
    </dxf>
    <dxf>
      <font>
        <color rgb="FFFFFFCC"/>
      </font>
    </dxf>
    <dxf>
      <font>
        <color theme="4" tint="0.79998168889431442"/>
      </font>
      <fill>
        <patternFill>
          <bgColor theme="4" tint="0.79998168889431442"/>
        </patternFill>
      </fill>
      <border>
        <left/>
        <right/>
        <top/>
        <bottom/>
        <vertical/>
        <horizontal/>
      </border>
    </dxf>
    <dxf>
      <font>
        <color rgb="FFFFFFCC"/>
      </font>
      <fill>
        <patternFill>
          <bgColor rgb="FFFFFFCC"/>
        </patternFill>
      </fill>
      <border>
        <left/>
        <right/>
        <top/>
        <bottom/>
        <vertical/>
        <horizontal/>
      </border>
    </dxf>
    <dxf>
      <font>
        <color theme="6" tint="0.79998168889431442"/>
      </font>
    </dxf>
    <dxf>
      <font>
        <color rgb="FFFFFFCC"/>
      </font>
    </dxf>
    <dxf>
      <font>
        <color theme="6" tint="0.79998168889431442"/>
      </font>
      <fill>
        <patternFill>
          <bgColor theme="6" tint="0.79998168889431442"/>
        </patternFill>
      </fill>
      <border>
        <left/>
        <right/>
        <top/>
        <bottom/>
        <vertical/>
        <horizontal/>
      </border>
    </dxf>
    <dxf>
      <font>
        <color theme="4" tint="0.79998168889431442"/>
      </font>
    </dxf>
    <dxf>
      <font>
        <color theme="4" tint="0.79998168889431442"/>
      </font>
    </dxf>
    <dxf>
      <font>
        <color theme="4" tint="0.79998168889431442"/>
      </font>
    </dxf>
    <dxf>
      <font>
        <color theme="6" tint="0.79998168889431442"/>
      </font>
    </dxf>
    <dxf>
      <font>
        <color rgb="FFFFFFCC"/>
      </font>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0" tint="-0.34998626667073579"/>
      </font>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6" tint="0.79998168889431442"/>
      </font>
      <fill>
        <patternFill>
          <bgColor theme="6" tint="0.79998168889431442"/>
        </patternFill>
      </fill>
      <border>
        <left/>
        <right/>
        <top/>
        <bottom/>
        <vertical/>
        <horizontal/>
      </border>
    </dxf>
    <dxf>
      <font>
        <color rgb="FFFFFFCC"/>
      </font>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0" tint="-0.24994659260841701"/>
      </font>
    </dxf>
    <dxf>
      <font>
        <color theme="0" tint="-0.24994659260841701"/>
      </font>
      <fill>
        <patternFill>
          <bgColor rgb="FFCCFFCC"/>
        </patternFill>
      </fill>
      <border>
        <left/>
        <right/>
        <top/>
        <bottom/>
        <vertical/>
        <horizontal/>
      </border>
    </dxf>
    <dxf>
      <font>
        <color theme="0" tint="-0.24994659260841701"/>
      </font>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ont>
        <color theme="0" tint="-0.24994659260841701"/>
      </font>
      <fill>
        <patternFill>
          <bgColor rgb="FFCCFFCC"/>
        </patternFill>
      </fill>
      <border>
        <left/>
        <right/>
        <top/>
        <bottom/>
        <vertical/>
        <horizontal/>
      </border>
    </dxf>
    <dxf>
      <fill>
        <patternFill>
          <bgColor rgb="FFFFFFCC"/>
        </patternFill>
      </fill>
    </dxf>
    <dxf>
      <fill>
        <patternFill>
          <bgColor theme="4" tint="0.79998168889431442"/>
        </patternFill>
      </fill>
    </dxf>
    <dxf>
      <fill>
        <patternFill>
          <bgColor theme="5" tint="0.79998168889431442"/>
        </patternFill>
      </fill>
    </dxf>
  </dxfs>
  <tableStyles count="0" defaultTableStyle="TableStyleMedium9" defaultPivotStyle="PivotStyleLight16"/>
  <colors>
    <mruColors>
      <color rgb="FFFFFFCC"/>
      <color rgb="FF2309BF"/>
      <color rgb="FF969696"/>
      <color rgb="FFFFCC99"/>
      <color rgb="FFCCFFCC"/>
      <color rgb="FFFFCCCC"/>
      <color rgb="FFCCFF99"/>
      <color rgb="FFFFFF99"/>
      <color rgb="FFFFCC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persons/person.xml" Type="http://schemas.microsoft.com/office/2017/10/relationships/perso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no"?><Relationships xmlns="http://schemas.openxmlformats.org/package/2006/relationships"><Relationship Id="rId1" Target="#'Verweise%20zu%20GAA%20und%20BRW%20und%20VW'!A1" Type="http://schemas.openxmlformats.org/officeDocument/2006/relationships/hyperlink"/></Relationships>
</file>

<file path=xl/drawings/_rels/drawing2.xml.rels><?xml version="1.0" encoding="UTF-8" standalone="no"?><Relationships xmlns="http://schemas.openxmlformats.org/package/2006/relationships"><Relationship Id="rId1" Target="#KPA!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6</xdr:col>
      <xdr:colOff>755197</xdr:colOff>
      <xdr:row>117</xdr:row>
      <xdr:rowOff>89296</xdr:rowOff>
    </xdr:from>
    <xdr:to>
      <xdr:col>9</xdr:col>
      <xdr:colOff>574222</xdr:colOff>
      <xdr:row>123</xdr:row>
      <xdr:rowOff>220266</xdr:rowOff>
    </xdr:to>
    <xdr:grpSp>
      <xdr:nvGrpSpPr>
        <xdr:cNvPr id="11707" name="Gruppieren 2">
          <a:extLst>
            <a:ext uri="{FF2B5EF4-FFF2-40B4-BE49-F238E27FC236}">
              <a16:creationId xmlns:a16="http://schemas.microsoft.com/office/drawing/2014/main" id="{00000000-0008-0000-0000-0000BB2D0000}"/>
            </a:ext>
          </a:extLst>
        </xdr:cNvPr>
        <xdr:cNvGrpSpPr>
          <a:grpSpLocks/>
        </xdr:cNvGrpSpPr>
      </xdr:nvGrpSpPr>
      <xdr:grpSpPr bwMode="auto">
        <a:xfrm>
          <a:off x="4660447" y="16177021"/>
          <a:ext cx="1609725" cy="1045370"/>
          <a:chOff x="2859126" y="6571611"/>
          <a:chExt cx="1460500" cy="939800"/>
        </a:xfrm>
      </xdr:grpSpPr>
      <xdr:sp macro="" textlink="">
        <xdr:nvSpPr>
          <xdr:cNvPr id="2" name="Gestreifter Pfeil nach rechts 1">
            <a:extLst>
              <a:ext uri="{FF2B5EF4-FFF2-40B4-BE49-F238E27FC236}">
                <a16:creationId xmlns:a16="http://schemas.microsoft.com/office/drawing/2014/main" id="{00000000-0008-0000-0000-000002000000}"/>
              </a:ext>
            </a:extLst>
          </xdr:cNvPr>
          <xdr:cNvSpPr/>
        </xdr:nvSpPr>
        <xdr:spPr>
          <a:xfrm>
            <a:off x="2859126" y="6571611"/>
            <a:ext cx="1460500" cy="939800"/>
          </a:xfrm>
          <a:prstGeom prst="stripedRightArrow">
            <a:avLst/>
          </a:prstGeom>
          <a:solidFill>
            <a:srgbClr val="FFCC66"/>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sp macro="" textlink="">
        <xdr:nvSpPr>
          <xdr:cNvPr id="7169" name="Text Box 1">
            <a:extLst>
              <a:ext uri="{FF2B5EF4-FFF2-40B4-BE49-F238E27FC236}">
                <a16:creationId xmlns:a16="http://schemas.microsoft.com/office/drawing/2014/main" id="{00000000-0008-0000-0000-0000011C0000}"/>
              </a:ext>
            </a:extLst>
          </xdr:cNvPr>
          <xdr:cNvSpPr txBox="1">
            <a:spLocks noChangeArrowheads="1"/>
          </xdr:cNvSpPr>
        </xdr:nvSpPr>
        <xdr:spPr bwMode="auto">
          <a:xfrm>
            <a:off x="3050998" y="6818178"/>
            <a:ext cx="1148927" cy="433125"/>
          </a:xfrm>
          <a:prstGeom prst="rect">
            <a:avLst/>
          </a:prstGeom>
          <a:noFill/>
          <a:ln w="9525">
            <a:noFill/>
            <a:miter lim="800000"/>
            <a:headEnd/>
            <a:tailEnd/>
          </a:ln>
        </xdr:spPr>
        <xdr:txBody>
          <a:bodyPr vertOverflow="clip" wrap="square" lIns="36576" tIns="27432" rIns="0" bIns="0" anchor="ctr" upright="1"/>
          <a:lstStyle/>
          <a:p>
            <a:pPr algn="l" rtl="0">
              <a:lnSpc>
                <a:spcPts val="900"/>
              </a:lnSpc>
              <a:defRPr sz="1000"/>
            </a:pPr>
            <a:r>
              <a:rPr lang="de-DE" sz="800" b="0" i="0" u="none" strike="noStrike" baseline="0">
                <a:solidFill>
                  <a:srgbClr val="000000"/>
                </a:solidFill>
                <a:latin typeface="Arial"/>
                <a:cs typeface="Arial"/>
              </a:rPr>
              <a:t>Übertragung des Verhältnisses der ermittelten Einzelwerte</a:t>
            </a:r>
          </a:p>
          <a:p>
            <a:pPr algn="l" rtl="0">
              <a:defRPr sz="1000"/>
            </a:pPr>
            <a:r>
              <a:rPr lang="de-DE" sz="800" b="0" i="0" u="none" strike="noStrike" baseline="0">
                <a:solidFill>
                  <a:srgbClr val="000000"/>
                </a:solidFill>
                <a:latin typeface="Arial"/>
                <a:cs typeface="Arial"/>
              </a:rPr>
              <a:t>auf den Kaufpreis</a:t>
            </a:r>
          </a:p>
        </xdr:txBody>
      </xdr:sp>
    </xdr:grpSp>
    <xdr:clientData/>
  </xdr:twoCellAnchor>
  <xdr:twoCellAnchor>
    <xdr:from>
      <xdr:col>9</xdr:col>
      <xdr:colOff>1002196</xdr:colOff>
      <xdr:row>15</xdr:row>
      <xdr:rowOff>41411</xdr:rowOff>
    </xdr:from>
    <xdr:to>
      <xdr:col>9</xdr:col>
      <xdr:colOff>1524000</xdr:colOff>
      <xdr:row>17</xdr:row>
      <xdr:rowOff>0</xdr:rowOff>
    </xdr:to>
    <xdr:sp macro="" textlink="">
      <xdr:nvSpPr>
        <xdr:cNvPr id="5" name="Ellips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129131" y="1904998"/>
          <a:ext cx="521804" cy="173937"/>
        </a:xfrm>
        <a:prstGeom prst="ellipse">
          <a:avLst/>
        </a:prstGeom>
        <a:solidFill>
          <a:schemeClr val="accent1">
            <a:lumMod val="20000"/>
            <a:lumOff val="80000"/>
          </a:schemeClr>
        </a:solidFill>
        <a:ln>
          <a:noFill/>
        </a:ln>
        <a:scene3d>
          <a:camera prst="orthographicFront"/>
          <a:lightRig rig="threePt" dir="t"/>
        </a:scene3d>
        <a:sp3d contourW="12700">
          <a:bevelT w="152400" h="50800" prst="softRound"/>
          <a:bevelB/>
          <a:contourClr>
            <a:schemeClr val="bg1"/>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700">
              <a:solidFill>
                <a:sysClr val="windowText" lastClr="000000"/>
              </a:solidFill>
            </a:rPr>
            <a:t>Link</a:t>
          </a:r>
        </a:p>
      </xdr:txBody>
    </xdr:sp>
    <xdr:clientData/>
  </xdr:twoCellAnchor>
  <xdr:twoCellAnchor>
    <xdr:from>
      <xdr:col>5</xdr:col>
      <xdr:colOff>330571</xdr:colOff>
      <xdr:row>26</xdr:row>
      <xdr:rowOff>65298</xdr:rowOff>
    </xdr:from>
    <xdr:to>
      <xdr:col>5</xdr:col>
      <xdr:colOff>777054</xdr:colOff>
      <xdr:row>28</xdr:row>
      <xdr:rowOff>31134</xdr:rowOff>
    </xdr:to>
    <xdr:sp macro="" textlink="">
      <xdr:nvSpPr>
        <xdr:cNvPr id="11" name="Ellipse 10">
          <a:hlinkClick xmlns:r="http://schemas.openxmlformats.org/officeDocument/2006/relationships" r:id="rId1"/>
          <a:extLst>
            <a:ext uri="{FF2B5EF4-FFF2-40B4-BE49-F238E27FC236}">
              <a16:creationId xmlns:a16="http://schemas.microsoft.com/office/drawing/2014/main" id="{00000000-0008-0000-0000-00000B000000}"/>
            </a:ext>
          </a:extLst>
        </xdr:cNvPr>
        <xdr:cNvSpPr/>
      </xdr:nvSpPr>
      <xdr:spPr>
        <a:xfrm>
          <a:off x="3330399" y="3200884"/>
          <a:ext cx="446483" cy="180422"/>
        </a:xfrm>
        <a:prstGeom prst="ellipse">
          <a:avLst/>
        </a:prstGeom>
        <a:solidFill>
          <a:schemeClr val="accent1">
            <a:lumMod val="20000"/>
            <a:lumOff val="80000"/>
          </a:schemeClr>
        </a:solidFill>
        <a:ln>
          <a:noFill/>
        </a:ln>
        <a:scene3d>
          <a:camera prst="orthographicFront"/>
          <a:lightRig rig="threePt" dir="t"/>
        </a:scene3d>
        <a:sp3d contourW="12700">
          <a:bevelT w="152400" h="50800" prst="softRound"/>
          <a:bevelB/>
          <a:contourClr>
            <a:schemeClr val="bg1"/>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600">
              <a:solidFill>
                <a:sysClr val="windowText" lastClr="00000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26670</xdr:rowOff>
    </xdr:from>
    <xdr:to>
      <xdr:col>1</xdr:col>
      <xdr:colOff>562222</xdr:colOff>
      <xdr:row>1</xdr:row>
      <xdr:rowOff>457613</xdr:rowOff>
    </xdr:to>
    <xdr:sp macro="" textlink="">
      <xdr:nvSpPr>
        <xdr:cNvPr id="2" name="Pfeil nach link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20980" y="236220"/>
          <a:ext cx="541020" cy="396240"/>
        </a:xfrm>
        <a:prstGeom prst="leftArrow">
          <a:avLst/>
        </a:prstGeom>
        <a:ln>
          <a:noFill/>
        </a:ln>
        <a:scene3d>
          <a:camera prst="orthographicFront"/>
          <a:lightRig rig="threePt" dir="t"/>
        </a:scene3d>
        <a:sp3d prstMaterial="dkEdge">
          <a:bevelT w="101600" prst="riblet"/>
          <a:bevelB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t>KPA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www.gutachterausschuss.bremen.de/" TargetMode="External" Type="http://schemas.openxmlformats.org/officeDocument/2006/relationships/hyperlink"/><Relationship Id="rId10" Target="http://www.geoportal-th.de/" TargetMode="External" Type="http://schemas.openxmlformats.org/officeDocument/2006/relationships/hyperlink"/><Relationship Id="rId11" Target="http://www.boris-bayern.de/" TargetMode="External" Type="http://schemas.openxmlformats.org/officeDocument/2006/relationships/hyperlink"/><Relationship Id="rId12" Target="http://www.boris.sachsen.de/" TargetMode="External" Type="http://schemas.openxmlformats.org/officeDocument/2006/relationships/hyperlink"/><Relationship Id="rId13" Target="http://www.zgg-bw.de/" TargetMode="External" Type="http://schemas.openxmlformats.org/officeDocument/2006/relationships/hyperlink"/><Relationship Id="rId14" Target="http://www.geoportal-mv.de/" TargetMode="External" Type="http://schemas.openxmlformats.org/officeDocument/2006/relationships/hyperlink"/><Relationship Id="rId15" Target="https://www.berlin.de/gutachterausschuss/marktinformationen/" TargetMode="External" Type="http://schemas.openxmlformats.org/officeDocument/2006/relationships/hyperlink"/><Relationship Id="rId16" Target="https://boris.brandenburg.de/" TargetMode="External" Type="http://schemas.openxmlformats.org/officeDocument/2006/relationships/hyperlink"/><Relationship Id="rId17" Target="../printerSettings/printerSettings5.bin" Type="http://schemas.openxmlformats.org/officeDocument/2006/relationships/printerSettings"/><Relationship Id="rId18" Target="../drawings/drawing2.xml" Type="http://schemas.openxmlformats.org/officeDocument/2006/relationships/drawing"/><Relationship Id="rId2" Target="http://www.geoportal-hamburg.de/boris" TargetMode="External" Type="http://schemas.openxmlformats.org/officeDocument/2006/relationships/hyperlink"/><Relationship Id="rId3" Target="http://www.boris.hessen.de/" TargetMode="External" Type="http://schemas.openxmlformats.org/officeDocument/2006/relationships/hyperlink"/><Relationship Id="rId4" Target="http://www.gag.niedersachsen.de/" TargetMode="External" Type="http://schemas.openxmlformats.org/officeDocument/2006/relationships/hyperlink"/><Relationship Id="rId5" Target="http://www.boris.nrw.de/" TargetMode="External" Type="http://schemas.openxmlformats.org/officeDocument/2006/relationships/hyperlink"/><Relationship Id="rId6" Target="https://gutachterausschuesse.rlp.de/" TargetMode="External" Type="http://schemas.openxmlformats.org/officeDocument/2006/relationships/hyperlink"/><Relationship Id="rId7" Target="https://geoportal.saarland.de/article/Bodenrichtwerte/" TargetMode="External" Type="http://schemas.openxmlformats.org/officeDocument/2006/relationships/hyperlink"/><Relationship Id="rId8" Target="http://www.lvermgeo.sachsen-anhalt.de/" TargetMode="External" Type="http://schemas.openxmlformats.org/officeDocument/2006/relationships/hyperlink"/><Relationship Id="rId9" Target="http://www.gutachterausschuesse-sh.de/gutachter.html" TargetMode="External" Type="http://schemas.openxmlformats.org/officeDocument/2006/relationships/hyperlink"/></Relationships>
</file>

<file path=xl/worksheets/_rels/sheet4.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printerSettings/printerSettings11.bin" Type="http://schemas.openxmlformats.org/officeDocument/2006/relationships/printerSettings"/></Relationships>
</file>

<file path=xl/worksheets/_rels/sheet8.xml.rels><?xml version="1.0" encoding="UTF-8" standalone="no"?><Relationships xmlns="http://schemas.openxmlformats.org/package/2006/relationships"><Relationship Id="rId1" Target="../printerSettings/printerSettings12.bin" Type="http://schemas.openxmlformats.org/officeDocument/2006/relationships/printerSettings"/></Relationships>
</file>

<file path=xl/worksheets/_rels/sheet9.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CFFCC"/>
  </sheetPr>
  <dimension ref="A1:P1044"/>
  <sheetViews>
    <sheetView showGridLines="0" showRowColHeaders="0" tabSelected="1" showRuler="0" topLeftCell="B1" zoomScaleNormal="100" zoomScaleSheetLayoutView="160" zoomScalePageLayoutView="130" workbookViewId="0">
      <selection activeCell="E5" sqref="E5:K5"/>
    </sheetView>
  </sheetViews>
  <sheetFormatPr baseColWidth="10" defaultColWidth="11.5703125" defaultRowHeight="12.75" x14ac:dyDescent="0.2"/>
  <cols>
    <col min="1" max="1" customWidth="true" hidden="true" style="323" width="11.85546875"/>
    <col min="2" max="2" customWidth="true" style="323" width="2.85546875"/>
    <col min="3" max="3" customWidth="true" style="323" width="2.0"/>
    <col min="4" max="4" customWidth="true" style="329" width="27.85546875"/>
    <col min="5" max="5" customWidth="true" style="329" width="12.0"/>
    <col min="6" max="6" customWidth="true" style="323" width="13.85546875"/>
    <col min="7" max="7" customWidth="true" style="323" width="15.0"/>
    <col min="8" max="8" customWidth="true" style="323" width="7.5703125"/>
    <col min="9" max="9" customWidth="true" style="323" width="4.28515625"/>
    <col min="10" max="10" customWidth="true" style="323" width="31.0"/>
    <col min="11" max="11" customWidth="true" style="323" width="16.5703125"/>
    <col min="12" max="12" customWidth="true" style="323" width="1.140625"/>
    <col min="13" max="13" customWidth="true" style="323" width="1.28515625"/>
    <col min="14" max="14" customWidth="true" style="325" width="38.42578125"/>
    <col min="15" max="15" style="325" width="11.5703125"/>
    <col min="16" max="16384" style="323" width="11.5703125"/>
  </cols>
  <sheetData>
    <row r="1" spans="3:16" x14ac:dyDescent="0.2">
      <c r="D1" s="860" t="s">
        <v>400</v>
      </c>
      <c r="E1" s="324"/>
    </row>
    <row r="2" spans="3:16" s="329" customFormat="1" ht="9.75" customHeight="1" x14ac:dyDescent="0.35">
      <c r="C2" s="44"/>
      <c r="D2" s="213" t="str">
        <f ca="1">IF(TODAY()-DATEVALUE(K2)&gt;(1),IF(TODAY()-DATEVALUE(K2)&gt;(180),"Bitte prüfen Sie umgehend, ob eine aktuellere Fassung vorliegt.","Bitte prüfen Sie, ob eine aktuellere Fassung vorliegt!"),"")</f>
        <v/>
      </c>
      <c r="E2" s="211"/>
      <c r="F2" s="326"/>
      <c r="G2" s="198"/>
      <c r="H2" s="198"/>
      <c r="I2" s="198"/>
      <c r="J2" s="327" t="s">
        <v>158</v>
      </c>
      <c r="K2" s="328" t="s">
        <v>401</v>
      </c>
      <c r="N2" s="331"/>
      <c r="O2" s="330"/>
    </row>
    <row r="3" spans="3:16" s="332" customFormat="1" ht="23.45" customHeight="1" x14ac:dyDescent="0.35">
      <c r="C3" s="1003" t="s">
        <v>258</v>
      </c>
      <c r="D3" s="1004"/>
      <c r="E3" s="1004"/>
      <c r="F3" s="1004"/>
      <c r="G3" s="1004"/>
      <c r="H3" s="1004"/>
      <c r="I3" s="1004"/>
      <c r="J3" s="1004"/>
      <c r="K3" s="1004"/>
      <c r="L3" s="1004"/>
      <c r="M3" s="1005"/>
      <c r="O3" s="331"/>
    </row>
    <row r="4" spans="3:16" ht="4.9000000000000004" customHeight="1" x14ac:dyDescent="0.2">
      <c r="C4" s="437"/>
      <c r="D4" s="438"/>
      <c r="E4" s="438"/>
      <c r="F4" s="439"/>
      <c r="G4" s="439"/>
      <c r="H4" s="439"/>
      <c r="I4" s="439"/>
      <c r="J4" s="439"/>
      <c r="K4" s="439"/>
      <c r="L4" s="439"/>
      <c r="M4" s="440"/>
    </row>
    <row r="5" spans="3:16" ht="11.25" customHeight="1" x14ac:dyDescent="0.2">
      <c r="C5" s="437"/>
      <c r="D5" s="441" t="s">
        <v>169</v>
      </c>
      <c r="E5" s="1011"/>
      <c r="F5" s="1012"/>
      <c r="G5" s="1012"/>
      <c r="H5" s="1012"/>
      <c r="I5" s="1012"/>
      <c r="J5" s="1012"/>
      <c r="K5" s="1013"/>
      <c r="L5" s="439"/>
      <c r="M5" s="440"/>
    </row>
    <row r="6" spans="3:16" ht="6" customHeight="1" x14ac:dyDescent="0.2">
      <c r="C6" s="437"/>
      <c r="D6" s="441"/>
      <c r="E6" s="441"/>
      <c r="F6" s="441"/>
      <c r="G6" s="441"/>
      <c r="H6" s="441"/>
      <c r="I6" s="441"/>
      <c r="J6" s="441"/>
      <c r="K6" s="439"/>
      <c r="L6" s="439"/>
      <c r="M6" s="440"/>
    </row>
    <row r="7" spans="3:16" ht="11.25" customHeight="1" x14ac:dyDescent="0.2">
      <c r="C7" s="437"/>
      <c r="D7" s="441" t="s">
        <v>170</v>
      </c>
      <c r="E7" s="1011"/>
      <c r="F7" s="1012"/>
      <c r="G7" s="1012"/>
      <c r="H7" s="1012"/>
      <c r="I7" s="1012"/>
      <c r="J7" s="1012"/>
      <c r="K7" s="1013"/>
      <c r="L7" s="439"/>
      <c r="M7" s="440"/>
      <c r="N7" s="333"/>
      <c r="O7" s="875">
        <f>E7</f>
        <v>0</v>
      </c>
      <c r="P7" s="335"/>
    </row>
    <row r="8" spans="3:16" ht="6" customHeight="1" x14ac:dyDescent="0.2">
      <c r="C8" s="437"/>
      <c r="D8" s="441"/>
      <c r="E8" s="441"/>
      <c r="F8" s="447"/>
      <c r="G8" s="447"/>
      <c r="H8" s="447"/>
      <c r="I8" s="447"/>
      <c r="J8" s="447"/>
      <c r="K8" s="447"/>
      <c r="L8" s="439"/>
      <c r="M8" s="440"/>
      <c r="N8" s="333"/>
      <c r="O8" s="333"/>
      <c r="P8" s="335"/>
    </row>
    <row r="9" spans="3:16" ht="11.25" customHeight="1" x14ac:dyDescent="0.2">
      <c r="C9" s="437"/>
      <c r="D9" s="442" t="s">
        <v>171</v>
      </c>
      <c r="E9" s="442"/>
      <c r="F9" s="443"/>
      <c r="G9" s="336"/>
      <c r="H9" s="452"/>
      <c r="I9" s="982" t="s">
        <v>175</v>
      </c>
      <c r="J9" s="983"/>
      <c r="K9" s="337"/>
      <c r="L9" s="439"/>
      <c r="M9" s="440"/>
      <c r="N9" s="333"/>
      <c r="O9" s="333"/>
      <c r="P9" s="335"/>
    </row>
    <row r="10" spans="3:16" ht="6" customHeight="1" x14ac:dyDescent="0.2">
      <c r="C10" s="437"/>
      <c r="D10" s="442"/>
      <c r="E10" s="442"/>
      <c r="F10" s="443"/>
      <c r="G10" s="494">
        <f>YEAR(G9)</f>
        <v>1900</v>
      </c>
      <c r="H10" s="452"/>
      <c r="I10" s="453"/>
      <c r="J10" s="453"/>
      <c r="K10" s="447"/>
      <c r="L10" s="439"/>
      <c r="M10" s="440"/>
      <c r="N10" s="333"/>
      <c r="O10" s="333"/>
      <c r="P10" s="335"/>
    </row>
    <row r="11" spans="3:16" ht="11.25" customHeight="1" x14ac:dyDescent="0.2">
      <c r="C11" s="437"/>
      <c r="D11" s="442" t="str">
        <f>IF('Fiktives Baujahr'!D54="Bitte KPA ausfüllen","  5) Ursprüngliches Baujahr:",IF('Fiktives Baujahr'!D54&lt;&gt;G11,"  5) Fiktives Baujahr ("&amp;F11&amp;") &amp; ursprüngliches Baujahr:","  5) Ursprüngliches Baujahr:"))</f>
        <v xml:space="preserve">  5) Ursprüngliches Baujahr:</v>
      </c>
      <c r="E11" s="442"/>
      <c r="F11" s="548" t="str">
        <f>IF('Fiktives Baujahr'!D54="Bitte KPA ausfüllen","",IF('Fiktives Baujahr'!D54&lt;&gt;G11,'Fiktives Baujahr'!D54,G11))</f>
        <v/>
      </c>
      <c r="G11" s="338"/>
      <c r="H11" s="454" t="str">
        <f>IF(G11&gt;YEAR(G9),"Nach KV?","")</f>
        <v/>
      </c>
      <c r="I11" s="982" t="s">
        <v>176</v>
      </c>
      <c r="J11" s="983"/>
      <c r="K11" s="338"/>
      <c r="L11" s="439"/>
      <c r="M11" s="440"/>
      <c r="N11" s="333"/>
      <c r="O11" s="333"/>
      <c r="P11" s="335"/>
    </row>
    <row r="12" spans="3:16" ht="6" customHeight="1" x14ac:dyDescent="0.2">
      <c r="C12" s="437"/>
      <c r="D12" s="443"/>
      <c r="E12" s="443"/>
      <c r="F12" s="443"/>
      <c r="G12" s="447"/>
      <c r="H12" s="447"/>
      <c r="I12" s="453"/>
      <c r="J12" s="453"/>
      <c r="K12" s="447"/>
      <c r="L12" s="439"/>
      <c r="M12" s="440"/>
      <c r="N12" s="333"/>
      <c r="O12" s="333"/>
      <c r="P12" s="335"/>
    </row>
    <row r="13" spans="3:16" ht="11.25" customHeight="1" x14ac:dyDescent="0.2">
      <c r="C13" s="437"/>
      <c r="D13" s="982" t="s">
        <v>172</v>
      </c>
      <c r="E13" s="982"/>
      <c r="F13" s="983"/>
      <c r="G13" s="339"/>
      <c r="H13" s="447"/>
      <c r="I13" s="982" t="s">
        <v>177</v>
      </c>
      <c r="J13" s="983"/>
      <c r="K13" s="339"/>
      <c r="L13" s="439"/>
      <c r="M13" s="440"/>
      <c r="N13" s="333"/>
      <c r="O13" s="333"/>
      <c r="P13" s="335"/>
    </row>
    <row r="14" spans="3:16" ht="6" customHeight="1" x14ac:dyDescent="0.2">
      <c r="C14" s="437"/>
      <c r="D14" s="448"/>
      <c r="E14" s="448"/>
      <c r="F14" s="449"/>
      <c r="G14" s="439"/>
      <c r="H14" s="439"/>
      <c r="I14" s="439"/>
      <c r="J14" s="453"/>
      <c r="K14" s="439"/>
      <c r="L14" s="439"/>
      <c r="M14" s="440"/>
      <c r="N14" s="333"/>
      <c r="O14" s="333"/>
      <c r="P14" s="335"/>
    </row>
    <row r="15" spans="3:16" ht="11.25" customHeight="1" x14ac:dyDescent="0.2">
      <c r="C15" s="437"/>
      <c r="D15" s="982" t="s">
        <v>173</v>
      </c>
      <c r="E15" s="982"/>
      <c r="F15" s="983"/>
      <c r="G15" s="493"/>
      <c r="H15" s="455"/>
      <c r="I15" s="982" t="s">
        <v>165</v>
      </c>
      <c r="J15" s="983"/>
      <c r="K15" s="493"/>
      <c r="L15" s="1007"/>
      <c r="M15" s="1008"/>
      <c r="N15" s="333"/>
      <c r="O15" s="333"/>
      <c r="P15" s="335"/>
    </row>
    <row r="16" spans="3:16" ht="6" customHeight="1" x14ac:dyDescent="0.2">
      <c r="C16" s="437"/>
      <c r="D16" s="441"/>
      <c r="E16" s="441"/>
      <c r="F16" s="441"/>
      <c r="G16" s="556">
        <f>IF(ISNUMBER(SEARCH("eigentum",E7)),G15,0)</f>
        <v>0</v>
      </c>
      <c r="H16" s="557"/>
      <c r="I16" s="557"/>
      <c r="J16" s="558"/>
      <c r="K16" s="556">
        <f>IF(ISNUMBER(SEARCH("eigentum",E7)),K15,0)</f>
        <v>0</v>
      </c>
      <c r="L16" s="439"/>
      <c r="M16" s="440"/>
      <c r="N16" s="333"/>
      <c r="O16" s="333"/>
      <c r="P16" s="335"/>
    </row>
    <row r="17" spans="1:16" ht="11.25" customHeight="1" x14ac:dyDescent="0.2">
      <c r="C17" s="437"/>
      <c r="D17" s="1009" t="s">
        <v>310</v>
      </c>
      <c r="E17" s="1009"/>
      <c r="F17" s="1010"/>
      <c r="G17" s="340"/>
      <c r="H17" s="439"/>
      <c r="I17" s="982" t="s">
        <v>174</v>
      </c>
      <c r="J17" s="983"/>
      <c r="K17" s="341"/>
      <c r="L17" s="439"/>
      <c r="M17" s="440"/>
      <c r="N17" s="333"/>
      <c r="O17" s="333"/>
      <c r="P17" s="335"/>
    </row>
    <row r="18" spans="1:16" ht="5.45" customHeight="1" x14ac:dyDescent="0.2">
      <c r="C18" s="437"/>
      <c r="D18" s="450"/>
      <c r="E18" s="450"/>
      <c r="F18" s="451"/>
      <c r="G18" s="439"/>
      <c r="H18" s="439"/>
      <c r="I18" s="439"/>
      <c r="J18" s="439"/>
      <c r="K18" s="439"/>
      <c r="L18" s="439"/>
      <c r="M18" s="440"/>
      <c r="N18" s="333"/>
      <c r="O18" s="333"/>
      <c r="P18" s="335"/>
    </row>
    <row r="19" spans="1:16" ht="5.45" customHeight="1" x14ac:dyDescent="0.2">
      <c r="C19" s="437"/>
      <c r="D19" s="1006" t="s">
        <v>232</v>
      </c>
      <c r="E19" s="1006"/>
      <c r="F19" s="1006"/>
      <c r="G19" s="1006"/>
      <c r="H19" s="1006"/>
      <c r="I19" s="1006"/>
      <c r="J19" s="1006"/>
      <c r="K19" s="1006"/>
      <c r="L19" s="444"/>
      <c r="M19" s="440"/>
      <c r="N19" s="333"/>
      <c r="O19" s="333"/>
      <c r="P19" s="335"/>
    </row>
    <row r="20" spans="1:16" ht="12" customHeight="1" x14ac:dyDescent="0.2">
      <c r="C20" s="437"/>
      <c r="D20" s="447" t="s">
        <v>311</v>
      </c>
      <c r="E20" s="447"/>
      <c r="F20" s="447"/>
      <c r="G20" s="340"/>
      <c r="H20" s="439"/>
      <c r="I20" s="982" t="s">
        <v>168</v>
      </c>
      <c r="J20" s="983"/>
      <c r="K20" s="340"/>
      <c r="L20" s="439"/>
      <c r="M20" s="440"/>
      <c r="N20" s="333"/>
      <c r="O20" s="333"/>
      <c r="P20" s="335"/>
    </row>
    <row r="21" spans="1:16" ht="12" customHeight="1" x14ac:dyDescent="0.2">
      <c r="C21" s="437"/>
      <c r="D21" s="456"/>
      <c r="E21" s="456"/>
      <c r="F21" s="439"/>
      <c r="G21" s="439"/>
      <c r="H21" s="445" t="str">
        <f>IF($O$21="voll","","Rote Felder sind Pflichtfelder!")</f>
        <v>Rote Felder sind Pflichtfelder!</v>
      </c>
      <c r="I21" s="439"/>
      <c r="J21" s="465"/>
      <c r="K21" s="466"/>
      <c r="L21" s="445"/>
      <c r="M21" s="446"/>
      <c r="N21" s="333"/>
      <c r="O21" s="342" t="str">
        <f>IF(ISNUMBER(SEARCH("eigentum",$E$7)),IF(OR(E5="",G9="",G11="",G15="",G17="",K9="",K11="",K15="",K17=""),"leer","voll"),IF(OR(E5="",E7="",G9="",G11="",G17="",K9="",K11="",K17=""),"leer","voll"))</f>
        <v>leer</v>
      </c>
      <c r="P21" s="335"/>
    </row>
    <row r="22" spans="1:16" ht="9.75" customHeight="1" thickBot="1" x14ac:dyDescent="0.25">
      <c r="C22" s="437"/>
      <c r="D22" s="457"/>
      <c r="E22" s="457"/>
      <c r="F22" s="458"/>
      <c r="G22" s="458"/>
      <c r="H22" s="458"/>
      <c r="I22" s="458"/>
      <c r="J22" s="467"/>
      <c r="K22" s="468"/>
      <c r="L22" s="445"/>
      <c r="M22" s="446"/>
      <c r="N22" s="333"/>
      <c r="O22" s="342"/>
      <c r="P22" s="335"/>
    </row>
    <row r="23" spans="1:16" ht="11.25" customHeight="1" thickTop="1" x14ac:dyDescent="0.2">
      <c r="A23" s="365" t="str">
        <f>IF(IFERROR(SEARCH("[",$E$7),0),"Einblenden","Ausblenden")</f>
        <v>Ausblenden</v>
      </c>
      <c r="C23" s="437"/>
      <c r="D23" s="447"/>
      <c r="E23" s="447"/>
      <c r="F23" s="439"/>
      <c r="G23" s="439"/>
      <c r="H23" s="439"/>
      <c r="I23" s="439"/>
      <c r="J23" s="469"/>
      <c r="K23" s="470"/>
      <c r="L23" s="445"/>
      <c r="M23" s="446"/>
      <c r="N23" s="333"/>
      <c r="O23" s="342"/>
      <c r="P23" s="335"/>
    </row>
    <row r="24" spans="1:16" ht="11.25" customHeight="1" x14ac:dyDescent="0.2">
      <c r="A24" s="365" t="str">
        <f>IF(IFERROR(SEARCH("[",$E$7),0),"Einblenden","Ausblenden")</f>
        <v>Ausblenden</v>
      </c>
      <c r="C24" s="437"/>
      <c r="D24" s="459" t="s">
        <v>249</v>
      </c>
      <c r="E24" s="447"/>
      <c r="F24" s="439"/>
      <c r="G24" s="439"/>
      <c r="H24" s="439"/>
      <c r="I24" s="439"/>
      <c r="J24" s="469"/>
      <c r="K24" s="470"/>
      <c r="L24" s="445"/>
      <c r="M24" s="446"/>
      <c r="N24" s="333"/>
      <c r="O24" s="342"/>
      <c r="P24" s="335"/>
    </row>
    <row r="25" spans="1:16" ht="6" customHeight="1" x14ac:dyDescent="0.2">
      <c r="A25" s="365" t="str">
        <f>IF(IFERROR(SEARCH("[",$E$7),0),"Einblenden","Ausblenden")</f>
        <v>Ausblenden</v>
      </c>
      <c r="C25" s="437"/>
      <c r="D25" s="459"/>
      <c r="E25" s="447"/>
      <c r="F25" s="439"/>
      <c r="G25" s="439"/>
      <c r="H25" s="439"/>
      <c r="I25" s="439"/>
      <c r="J25" s="469"/>
      <c r="K25" s="470"/>
      <c r="L25" s="445"/>
      <c r="M25" s="446"/>
      <c r="N25" s="333"/>
      <c r="O25" s="342"/>
      <c r="P25" s="335"/>
    </row>
    <row r="26" spans="1:16" ht="11.25" customHeight="1" x14ac:dyDescent="0.2">
      <c r="A26" s="365" t="str">
        <f>IF(IFERROR(SEARCH("[",$E$7),0),"Einblenden","Ausblenden")</f>
        <v>Ausblenden</v>
      </c>
      <c r="C26" s="437"/>
      <c r="D26" s="447" t="s">
        <v>305</v>
      </c>
      <c r="E26" s="447"/>
      <c r="F26" s="439"/>
      <c r="G26" s="340" t="s">
        <v>182</v>
      </c>
      <c r="H26" s="439"/>
      <c r="I26" s="976" t="s">
        <v>306</v>
      </c>
      <c r="J26" s="976"/>
      <c r="K26" s="547" t="s">
        <v>408</v>
      </c>
      <c r="L26" s="445"/>
      <c r="M26" s="446"/>
      <c r="N26" s="333"/>
      <c r="O26" s="342"/>
      <c r="P26" s="335"/>
    </row>
    <row r="27" spans="1:16" ht="6" customHeight="1" x14ac:dyDescent="0.2">
      <c r="A27" s="365" t="str">
        <f>IF(IFERROR(SEARCH("[",$E$7),0),"Einblenden","Ausblenden")</f>
        <v>Ausblenden</v>
      </c>
      <c r="C27" s="437"/>
      <c r="D27" s="441"/>
      <c r="E27" s="441"/>
      <c r="F27" s="441"/>
      <c r="G27" s="441"/>
      <c r="H27" s="441"/>
      <c r="I27" s="451"/>
      <c r="J27" s="451"/>
      <c r="K27" s="451"/>
      <c r="L27" s="439"/>
      <c r="M27" s="440"/>
    </row>
    <row r="28" spans="1:16" ht="11.25" customHeight="1" x14ac:dyDescent="0.2">
      <c r="A28" s="365" t="str">
        <f t="shared" ref="A28:A34" si="0">IF(G$26="Ja",IF(IFERROR(SEARCH("[",$E$7),0),"Einblenden","Ausblenden"),"Ausblenden")</f>
        <v>Ausblenden</v>
      </c>
      <c r="C28" s="437"/>
      <c r="D28" s="976" t="s">
        <v>307</v>
      </c>
      <c r="E28" s="976"/>
      <c r="F28" s="976"/>
      <c r="G28" s="368"/>
      <c r="H28" s="994" t="s">
        <v>308</v>
      </c>
      <c r="I28" s="994"/>
      <c r="J28" s="986"/>
      <c r="K28" s="987"/>
      <c r="L28" s="445"/>
      <c r="M28" s="446"/>
      <c r="N28" s="333"/>
      <c r="O28" s="342"/>
      <c r="P28" s="335"/>
    </row>
    <row r="29" spans="1:16" ht="11.25" customHeight="1" x14ac:dyDescent="0.2">
      <c r="A29" s="365" t="str">
        <f t="shared" si="0"/>
        <v>Ausblenden</v>
      </c>
      <c r="C29" s="437"/>
      <c r="D29" s="976"/>
      <c r="E29" s="976"/>
      <c r="F29" s="976"/>
      <c r="G29" s="441"/>
      <c r="H29" s="994"/>
      <c r="I29" s="994"/>
      <c r="J29" s="988"/>
      <c r="K29" s="989"/>
      <c r="L29" s="445"/>
      <c r="M29" s="446"/>
      <c r="N29" s="333"/>
      <c r="O29" s="342"/>
      <c r="P29" s="335"/>
    </row>
    <row r="30" spans="1:16" ht="11.25" customHeight="1" x14ac:dyDescent="0.2">
      <c r="A30" s="365" t="str">
        <f t="shared" si="0"/>
        <v>Ausblenden</v>
      </c>
      <c r="C30" s="460"/>
      <c r="D30" s="447"/>
      <c r="E30" s="447"/>
      <c r="F30" s="461"/>
      <c r="G30" s="439"/>
      <c r="H30" s="439"/>
      <c r="I30" s="439"/>
      <c r="J30" s="988"/>
      <c r="K30" s="989"/>
      <c r="L30" s="439"/>
      <c r="M30" s="440"/>
      <c r="N30" s="323"/>
      <c r="O30" s="323"/>
    </row>
    <row r="31" spans="1:16" ht="12" customHeight="1" x14ac:dyDescent="0.2">
      <c r="A31" s="365" t="str">
        <f t="shared" si="0"/>
        <v>Ausblenden</v>
      </c>
      <c r="C31" s="460"/>
      <c r="D31" s="447" t="s">
        <v>315</v>
      </c>
      <c r="E31" s="447"/>
      <c r="F31" s="439"/>
      <c r="G31" s="862"/>
      <c r="H31" s="439"/>
      <c r="I31" s="439"/>
      <c r="J31" s="988"/>
      <c r="K31" s="989"/>
      <c r="L31" s="439"/>
      <c r="M31" s="440"/>
      <c r="N31" s="323"/>
      <c r="O31" s="323"/>
    </row>
    <row r="32" spans="1:16" ht="3" customHeight="1" x14ac:dyDescent="0.2">
      <c r="A32" s="365"/>
      <c r="C32" s="460"/>
      <c r="D32" s="447"/>
      <c r="E32" s="447"/>
      <c r="F32" s="439"/>
      <c r="G32" s="439"/>
      <c r="H32" s="439"/>
      <c r="I32" s="439"/>
      <c r="J32" s="988"/>
      <c r="K32" s="989"/>
      <c r="L32" s="439"/>
      <c r="M32" s="440"/>
      <c r="N32" s="323"/>
      <c r="O32" s="323"/>
    </row>
    <row r="33" spans="1:16" ht="11.25" customHeight="1" x14ac:dyDescent="0.2">
      <c r="A33" s="365" t="str">
        <f t="shared" si="0"/>
        <v>Ausblenden</v>
      </c>
      <c r="C33" s="460"/>
      <c r="D33" s="447" t="s">
        <v>314</v>
      </c>
      <c r="E33" s="447"/>
      <c r="F33" s="439"/>
      <c r="G33" s="862"/>
      <c r="H33" s="439"/>
      <c r="I33" s="439"/>
      <c r="J33" s="990"/>
      <c r="K33" s="991"/>
      <c r="L33" s="439"/>
      <c r="M33" s="440"/>
      <c r="N33" s="323"/>
      <c r="O33" s="323"/>
    </row>
    <row r="34" spans="1:16" ht="9.75" customHeight="1" thickBot="1" x14ac:dyDescent="0.25">
      <c r="A34" s="365" t="str">
        <f t="shared" si="0"/>
        <v>Ausblenden</v>
      </c>
      <c r="C34" s="437"/>
      <c r="D34" s="457"/>
      <c r="E34" s="457"/>
      <c r="F34" s="458"/>
      <c r="G34" s="458"/>
      <c r="H34" s="458"/>
      <c r="I34" s="458"/>
      <c r="J34" s="467"/>
      <c r="K34" s="468"/>
      <c r="L34" s="445"/>
      <c r="M34" s="446"/>
      <c r="N34" s="333"/>
      <c r="O34" s="342"/>
      <c r="P34" s="335"/>
    </row>
    <row r="35" spans="1:16" ht="11.25" customHeight="1" thickTop="1" x14ac:dyDescent="0.2">
      <c r="A35" s="365" t="str">
        <f>IF(IFERROR(SEARCH("grund",$E$7),FALSE),"Einblenden",IF(G$26="Nein",IF(IFERROR(SEARCH("[",$E$7),FALSE),IF(G$38="Nein","Ausblenden","Einblenden"),"Ausblenden"),"Ausblenden"))</f>
        <v>Ausblenden</v>
      </c>
      <c r="C35" s="437"/>
      <c r="D35" s="447"/>
      <c r="E35" s="447"/>
      <c r="F35" s="439"/>
      <c r="G35" s="439"/>
      <c r="H35" s="439"/>
      <c r="I35" s="439"/>
      <c r="J35" s="469"/>
      <c r="K35" s="470"/>
      <c r="L35" s="445"/>
      <c r="M35" s="446"/>
      <c r="N35" s="333"/>
      <c r="O35" s="342"/>
      <c r="P35" s="335"/>
    </row>
    <row r="36" spans="1:16" ht="11.25" customHeight="1" x14ac:dyDescent="0.2">
      <c r="A36" s="365" t="str">
        <f>IF(IFERROR(SEARCH("grund",$E$7),FALSE),"Einblenden",IF(G$26="Nein",IF(IFERROR(SEARCH("[",$E$7),FALSE),IF(G$38="Nein","Ausblenden","Einblenden"),"Ausblenden"),"Ausblenden"))</f>
        <v>Ausblenden</v>
      </c>
      <c r="C36" s="437"/>
      <c r="D36" s="459" t="s">
        <v>253</v>
      </c>
      <c r="E36" s="447"/>
      <c r="F36" s="439"/>
      <c r="G36" s="439"/>
      <c r="H36" s="439"/>
      <c r="I36" s="451"/>
      <c r="J36" s="514"/>
      <c r="K36" s="470"/>
      <c r="L36" s="445"/>
      <c r="M36" s="446"/>
      <c r="N36" s="333"/>
      <c r="O36" s="342"/>
      <c r="P36" s="335"/>
    </row>
    <row r="37" spans="1:16" ht="11.25" customHeight="1" x14ac:dyDescent="0.2">
      <c r="A37" s="365" t="str">
        <f>IF(IFERROR(SEARCH("grund",$E$7),FALSE),"Einblenden",IF(G$26="Nein",IF(IFERROR(SEARCH("[",$E$7),FALSE),IF(G$38="Nein","Ausblenden","Einblenden"),"Ausblenden"),"Ausblenden"))</f>
        <v>Ausblenden</v>
      </c>
      <c r="C37" s="437"/>
      <c r="D37" s="447"/>
      <c r="E37" s="447"/>
      <c r="F37" s="439"/>
      <c r="G37" s="439"/>
      <c r="H37" s="439"/>
      <c r="I37" s="976" t="s">
        <v>354</v>
      </c>
      <c r="J37" s="976"/>
      <c r="K37" s="559"/>
      <c r="L37" s="445"/>
      <c r="M37" s="446"/>
      <c r="N37" s="333"/>
      <c r="O37" s="342"/>
      <c r="P37" s="335"/>
    </row>
    <row r="38" spans="1:16" ht="11.25" customHeight="1" x14ac:dyDescent="0.2">
      <c r="A38" s="365" t="str">
        <f>IF(IFERROR(SEARCH("grund",$E$7),FALSE),"Einblenden",IF(G$26="Nein",IF(IFERROR(SEARCH("[",$E$7),FALSE),"Einblenden","Ausblenden"),"Ausblenden"))</f>
        <v>Ausblenden</v>
      </c>
      <c r="C38" s="437"/>
      <c r="D38" s="447" t="s">
        <v>317</v>
      </c>
      <c r="E38" s="447"/>
      <c r="F38" s="439"/>
      <c r="G38" s="340" t="s">
        <v>182</v>
      </c>
      <c r="H38" s="439"/>
      <c r="I38" s="976"/>
      <c r="J38" s="976"/>
      <c r="K38" s="451"/>
      <c r="L38" s="445"/>
      <c r="M38" s="446"/>
      <c r="N38" s="333"/>
      <c r="O38" s="342"/>
      <c r="P38" s="335"/>
    </row>
    <row r="39" spans="1:16" ht="6.75" customHeight="1" x14ac:dyDescent="0.2">
      <c r="A39" s="365" t="str">
        <f>IF(IFERROR(SEARCH("grund",$E$7),FALSE),"Einblenden",IF(G$26="Nein",IF(IFERROR(SEARCH("[",$E$7),FALSE),IF(G$38="Nein","Ausblenden","Einblenden"),"Ausblenden"),"Ausblenden"))</f>
        <v>Ausblenden</v>
      </c>
      <c r="C39" s="437"/>
      <c r="D39" s="441"/>
      <c r="E39" s="441"/>
      <c r="F39" s="441"/>
      <c r="G39" s="441"/>
      <c r="H39" s="441"/>
      <c r="I39" s="976"/>
      <c r="J39" s="976"/>
      <c r="K39" s="439"/>
      <c r="L39" s="439"/>
      <c r="M39" s="440"/>
    </row>
    <row r="40" spans="1:16" ht="11.25" customHeight="1" x14ac:dyDescent="0.2">
      <c r="A40" s="365" t="str">
        <f>IF(AND(G$38="Ja",IFERROR(SEARCH("grund",$E$7),FALSE)),"Einblenden",IF(G$26="Nein",IF(AND(G38="Ja",IFERROR(SEARCH("[",$E$7),FALSE)),"Einblenden","Ausblenden"),"Ausblenden"))</f>
        <v>Ausblenden</v>
      </c>
      <c r="C40" s="437"/>
      <c r="D40" s="447" t="s">
        <v>313</v>
      </c>
      <c r="E40" s="447"/>
      <c r="F40" s="439"/>
      <c r="G40" s="343"/>
      <c r="H40" s="439"/>
      <c r="I40" s="993" t="str">
        <f>IF(K17&lt;1000,IF(OR(K17="",G11="",G17="",K11="",G40="",K37="",G9="",K9=""),"",IF((K37-VLOOKUP(KPA!E7,'EW-Bewertungsparameter'!A8:Y71,K88,0))&lt;-2,"Prüfhinweis! Zinssatz sehr fragwürdig. Bitte unbedingt prüfen und ggf. ausführlich begründen (gesondertes Blatt):",IF((K37-VLOOKUP(KPA!E7,'EW-Bewertungsparameter'!A8:Y71,K88,0))&lt;-1,"Prüfhinweis. Zinssatz ungewöhnlich niedrig. Bitte prüfen und ggf. begründen (z.B. Quellenangabe im Grundstücksmarktbericht des Gutachterausschusses):",""))),IF(OR(K17="",G11="",G17="",K11="",G40="",K37="",G9="",K9=""),"",IF((K37-VLOOKUP(KPA!E7,'EW-Bewertungsparameter'!A8:Y71,K88,0))&lt;-2.5,"Prüfhinweis! Zinssatz sehr fragwürdig. Bitte unbedingt prüfen und ggf. ausführlich begründen (gesondertes Blatt):",IF((K37-VLOOKUP(KPA!E7,'EW-Bewertungsparameter'!A8:Y71,K88,0))&lt;-1.5,"Prüfhinweis. Zinssatz ungewöhnlich niedrig. Bitte prüfen und ggf. begründen (z.B. Quellenangabe im Grundstücksmarktbericht des Gutachterausschusses):",""))))</f>
        <v/>
      </c>
      <c r="J40" s="993"/>
      <c r="K40" s="993"/>
      <c r="L40" s="445"/>
      <c r="M40" s="446"/>
      <c r="N40" s="333"/>
      <c r="O40" s="342"/>
      <c r="P40" s="335"/>
    </row>
    <row r="41" spans="1:16" ht="6.75" customHeight="1" x14ac:dyDescent="0.2">
      <c r="A41" s="365" t="str">
        <f>IF(IFERROR(SEARCH("grund",$E$7),FALSE),"Einblenden",IF(G$26="Nein",IF(IFERROR(SEARCH("[",$E$7),FALSE),IF(G$38="Nein","Ausblenden","Einblenden"),"Ausblenden"),"Ausblenden"))</f>
        <v>Ausblenden</v>
      </c>
      <c r="C41" s="437"/>
      <c r="D41" s="447"/>
      <c r="E41" s="447"/>
      <c r="F41" s="439"/>
      <c r="G41" s="439"/>
      <c r="H41" s="439"/>
      <c r="I41" s="993"/>
      <c r="J41" s="993"/>
      <c r="K41" s="993"/>
      <c r="L41" s="445"/>
      <c r="M41" s="446"/>
      <c r="N41" s="333"/>
      <c r="O41" s="342"/>
      <c r="P41" s="335"/>
    </row>
    <row r="42" spans="1:16" ht="11.25" customHeight="1" x14ac:dyDescent="0.2">
      <c r="A42" s="365" t="str">
        <f>IF(ISNUMBER(SEARCH("Mietwohngrundstücke (Mehrfamilienhäuser)",E7)),IF(AND(G$38="Ja",IFERROR(SEARCH("grund",$E$7),FALSE)),"Einblenden",IF(G$26="Nein",IF(AND(G38="Ja",IFERROR(SEARCH("[",$E$7),FALSE)),"Einblenden","Ausblenden"),"Ausblenden")),"Ausblenden")</f>
        <v>Ausblenden</v>
      </c>
      <c r="C42" s="437"/>
      <c r="D42" s="447" t="s">
        <v>348</v>
      </c>
      <c r="E42" s="447"/>
      <c r="F42" s="439"/>
      <c r="G42" s="340"/>
      <c r="H42" s="674">
        <f>IF(ISNUMBER(SEARCH("EFH",E7)),1,IF(ISNUMBER(SEARCH("ZFH",E7)),2,IF(ISNUMBER(SEARCH("igen",E7)),1,IF(G42&gt;0,G42,ROUND(K11/92,0)))))</f>
        <v>0</v>
      </c>
      <c r="I42" s="992"/>
      <c r="J42" s="992"/>
      <c r="K42" s="992"/>
      <c r="L42" s="445"/>
      <c r="M42" s="446"/>
      <c r="N42" s="333"/>
      <c r="O42" s="342"/>
      <c r="P42" s="335"/>
    </row>
    <row r="43" spans="1:16" ht="9.75" customHeight="1" thickBot="1" x14ac:dyDescent="0.25">
      <c r="A43" s="365"/>
      <c r="C43" s="437"/>
      <c r="D43" s="457"/>
      <c r="E43" s="457"/>
      <c r="F43" s="458"/>
      <c r="G43" s="458"/>
      <c r="H43" s="458"/>
      <c r="I43" s="516"/>
      <c r="J43" s="516"/>
      <c r="K43" s="516"/>
      <c r="L43" s="445"/>
      <c r="M43" s="446"/>
      <c r="N43" s="333"/>
      <c r="O43" s="342"/>
      <c r="P43" s="335"/>
    </row>
    <row r="44" spans="1:16" ht="11.25" customHeight="1" thickTop="1" x14ac:dyDescent="0.2">
      <c r="A44" s="365" t="str">
        <f>IF(IFERROR(SEARCH("[",$E$7),0),IF(AND(G$26="Nein",G$38="Nein"),"Einblenden","Ausblenden"),IF(IFERROR(SEARCH("grund",$E$7),0),IF(G$38="Nein","Einblenden","Ausblenden"),"Einblenden"))</f>
        <v>Einblenden</v>
      </c>
      <c r="C44" s="437"/>
      <c r="D44" s="447"/>
      <c r="E44" s="447"/>
      <c r="F44" s="439"/>
      <c r="G44" s="439"/>
      <c r="H44" s="439"/>
      <c r="I44" s="439"/>
      <c r="J44" s="469"/>
      <c r="K44" s="470"/>
      <c r="L44" s="445"/>
      <c r="M44" s="446"/>
      <c r="N44" s="333"/>
      <c r="O44" s="342"/>
      <c r="P44" s="335"/>
    </row>
    <row r="45" spans="1:16" ht="11.25" customHeight="1" x14ac:dyDescent="0.2">
      <c r="A45" s="365" t="str">
        <f>IF(IFERROR(SEARCH("[",$E$7),0),IF(AND(G$26="Nein",G$38="Nein"),"Einblenden","Ausblenden"),IF(IFERROR(SEARCH("grund",$E$7),0),IF(G$38="Nein","Einblenden","Ausblenden"),"Einblenden"))</f>
        <v>Einblenden</v>
      </c>
      <c r="C45" s="437"/>
      <c r="D45" s="459" t="s">
        <v>252</v>
      </c>
      <c r="E45" s="447"/>
      <c r="F45" s="439"/>
      <c r="G45" s="439"/>
      <c r="H45" s="439"/>
      <c r="I45" s="439"/>
      <c r="J45" s="469"/>
      <c r="K45" s="470"/>
      <c r="L45" s="445"/>
      <c r="M45" s="446"/>
      <c r="N45" s="333"/>
      <c r="O45" s="342"/>
      <c r="P45" s="335"/>
    </row>
    <row r="46" spans="1:16" ht="6.75" customHeight="1" x14ac:dyDescent="0.2">
      <c r="A46" s="365" t="str">
        <f>IF(IFERROR(SEARCH("[",$E$7),0),IF(AND(G$26="Nein",G$38="Nein"),"Einblenden","Ausblenden"),IF(IFERROR(SEARCH("grund",$E$7),0),IF(G$38="Nein","Einblenden","Ausblenden"),"Einblenden"))</f>
        <v>Einblenden</v>
      </c>
      <c r="C46" s="437"/>
      <c r="D46" s="447"/>
      <c r="E46" s="447"/>
      <c r="F46" s="439"/>
      <c r="G46" s="439"/>
      <c r="H46" s="439"/>
      <c r="I46" s="439"/>
      <c r="J46" s="469"/>
      <c r="K46" s="470"/>
      <c r="L46" s="445"/>
      <c r="M46" s="446"/>
      <c r="N46" s="333"/>
      <c r="O46" s="342"/>
      <c r="P46" s="335"/>
    </row>
    <row r="47" spans="1:16" ht="11.25" customHeight="1" x14ac:dyDescent="0.2">
      <c r="A47" s="365" t="str">
        <f>IF(IFERROR(SEARCH("[",$E$7),0),IF(AND(G$26="Nein",G$38="Nein"),"Einblenden","Ausblenden"),IF(IFERROR(SEARCH("grund",$E$7),0),IF(G$38="Nein","Einblenden","Ausblenden"),"Einblenden"))</f>
        <v>Einblenden</v>
      </c>
      <c r="C47" s="437"/>
      <c r="D47" s="447" t="s">
        <v>355</v>
      </c>
      <c r="E47" s="447"/>
      <c r="F47" s="439"/>
      <c r="G47" s="838">
        <v>1</v>
      </c>
      <c r="H47" s="439"/>
      <c r="I47" s="976" t="s">
        <v>391</v>
      </c>
      <c r="J47" s="976"/>
      <c r="K47" s="513">
        <v>1</v>
      </c>
      <c r="L47" s="445"/>
      <c r="M47" s="446"/>
      <c r="N47" s="333"/>
      <c r="O47" s="342"/>
      <c r="P47" s="335"/>
    </row>
    <row r="48" spans="1:16" ht="11.25" customHeight="1" x14ac:dyDescent="0.2">
      <c r="A48" s="365"/>
      <c r="C48" s="437"/>
      <c r="D48" s="447"/>
      <c r="E48" s="447"/>
      <c r="F48" s="439"/>
      <c r="G48" s="439"/>
      <c r="H48" s="439"/>
      <c r="I48" s="976"/>
      <c r="J48" s="976"/>
      <c r="K48" s="470"/>
      <c r="L48" s="445"/>
      <c r="M48" s="446"/>
      <c r="N48" s="333"/>
      <c r="O48" s="342"/>
      <c r="P48" s="335"/>
    </row>
    <row r="49" spans="1:16" ht="8.25" customHeight="1" thickBot="1" x14ac:dyDescent="0.25">
      <c r="A49" s="365" t="str">
        <f>IF(IFERROR(SEARCH("[",$E$7),0),IF(AND(G$26="Nein",G$38="Nein"),"Einblenden","Ausblenden"),IF(IFERROR(SEARCH("grund",$E$7),0),IF(G$38="Nein","Einblenden","Ausblenden"),"Einblenden"))</f>
        <v>Einblenden</v>
      </c>
      <c r="C49" s="437"/>
      <c r="D49" s="457"/>
      <c r="E49" s="457"/>
      <c r="F49" s="458"/>
      <c r="G49" s="458"/>
      <c r="H49" s="458"/>
      <c r="I49" s="458"/>
      <c r="J49" s="467"/>
      <c r="K49" s="468"/>
      <c r="L49" s="445"/>
      <c r="M49" s="446"/>
      <c r="N49" s="333"/>
      <c r="O49" s="342"/>
      <c r="P49" s="335"/>
    </row>
    <row r="50" spans="1:16" ht="40.5" customHeight="1" thickTop="1" x14ac:dyDescent="0.2">
      <c r="A50" s="365" t="str">
        <f>IF(G$26="Ja",IF(IFERROR(SEARCH("Wohnungseigentum",$E$7),0),"Einblenden","Ausblenden"),"Ausblenden")</f>
        <v>Ausblenden</v>
      </c>
      <c r="C50" s="462"/>
      <c r="D50" s="463"/>
      <c r="E50" s="463"/>
      <c r="F50" s="464"/>
      <c r="G50" s="475"/>
      <c r="H50" s="464"/>
      <c r="I50" s="464"/>
      <c r="J50" s="471"/>
      <c r="K50" s="472"/>
      <c r="L50" s="473"/>
      <c r="M50" s="474"/>
      <c r="N50" s="333"/>
      <c r="O50" s="342"/>
      <c r="P50" s="335"/>
    </row>
    <row r="51" spans="1:16" ht="17.25" customHeight="1" x14ac:dyDescent="0.2">
      <c r="A51" s="323" t="str">
        <f>IF(KPA!$O$21="leer","Ausblenden","Einblenden")</f>
        <v>Ausblenden</v>
      </c>
      <c r="C51" s="366"/>
      <c r="D51" s="367"/>
      <c r="E51" s="367"/>
      <c r="F51" s="366"/>
      <c r="G51" s="366"/>
      <c r="H51" s="366"/>
      <c r="I51" s="366"/>
      <c r="J51" s="366"/>
      <c r="K51" s="366"/>
      <c r="L51" s="366"/>
      <c r="M51" s="366"/>
      <c r="N51" s="333"/>
      <c r="O51" s="334">
        <v>3</v>
      </c>
      <c r="P51" s="335"/>
    </row>
    <row r="52" spans="1:16" ht="23.25" customHeight="1" thickBot="1" x14ac:dyDescent="0.25">
      <c r="A52" s="323" t="str">
        <f>IF(KPA!$O$21="leer","Ausblenden","Einblenden")</f>
        <v>Ausblenden</v>
      </c>
      <c r="C52" s="484"/>
      <c r="D52" s="997" t="str">
        <f>"Berechnung:"</f>
        <v>Berechnung:</v>
      </c>
      <c r="E52" s="997"/>
      <c r="F52" s="997"/>
      <c r="G52" s="997"/>
      <c r="H52" s="997"/>
      <c r="I52" s="997"/>
      <c r="J52" s="997"/>
      <c r="K52" s="997"/>
      <c r="L52" s="997"/>
      <c r="M52" s="485"/>
      <c r="N52" s="333"/>
      <c r="O52" s="333"/>
      <c r="P52" s="335"/>
    </row>
    <row r="53" spans="1:16" ht="12" customHeight="1" x14ac:dyDescent="0.2">
      <c r="A53" s="323" t="str">
        <f>IF(KPA!$O$21="leer","Ausblenden","Einblenden")</f>
        <v>Ausblenden</v>
      </c>
      <c r="C53" s="437"/>
      <c r="D53" s="1014" t="s">
        <v>59</v>
      </c>
      <c r="E53" s="1015"/>
      <c r="F53" s="1015"/>
      <c r="G53" s="1015"/>
      <c r="H53" s="1015"/>
      <c r="I53" s="1015"/>
      <c r="J53" s="1015"/>
      <c r="K53" s="1015"/>
      <c r="L53" s="1016"/>
      <c r="M53" s="440"/>
    </row>
    <row r="54" spans="1:16" ht="12" customHeight="1" x14ac:dyDescent="0.2">
      <c r="A54" s="323" t="str">
        <f>IF(KPA!$O$21="leer","Ausblenden","Einblenden")</f>
        <v>Ausblenden</v>
      </c>
      <c r="C54" s="437"/>
      <c r="D54" s="1057" t="str">
        <f>"Fläche 1) Fläche in m² x Bodenrichtwert in €"&amp;IF(K16&gt;0," x  Miteigentumsanteil","")</f>
        <v>Fläche 1) Fläche in m² x Bodenrichtwert in €</v>
      </c>
      <c r="E54" s="1058"/>
      <c r="F54" s="1058"/>
      <c r="G54" s="1058"/>
      <c r="H54" s="1058"/>
      <c r="I54" s="1058"/>
      <c r="J54" s="1058"/>
      <c r="K54" s="377"/>
      <c r="L54" s="378"/>
      <c r="M54" s="440"/>
    </row>
    <row r="55" spans="1:16" ht="12" customHeight="1" x14ac:dyDescent="0.2">
      <c r="A55" s="323" t="str">
        <f>IF(KPA!$O$21="leer","Ausblenden","Einblenden")</f>
        <v>Ausblenden</v>
      </c>
      <c r="C55" s="437"/>
      <c r="D55" s="1053" t="str">
        <f>ROUND(G17,0)&amp;" m² x "&amp;ROUND(K17,0)&amp;" €"</f>
        <v>0 m² x 0 €</v>
      </c>
      <c r="E55" s="1054"/>
      <c r="F55" s="1059" t="str">
        <f>IF(K16&gt;0," x  Miteigentumsanteil ("&amp;G16&amp;"/"&amp;K16&amp;")  =","=")</f>
        <v>=</v>
      </c>
      <c r="G55" s="1059"/>
      <c r="H55" s="1059"/>
      <c r="I55" s="1059"/>
      <c r="J55" s="1059"/>
      <c r="K55" s="1023">
        <f>IF(K16&gt;0,ROUND(G17,0)*ROUND(K17,0)*(G16/K16),ROUND(G17,0)*ROUND(K17,0))</f>
        <v>0</v>
      </c>
      <c r="L55" s="1024"/>
      <c r="M55" s="440"/>
    </row>
    <row r="56" spans="1:16" ht="12" customHeight="1" x14ac:dyDescent="0.2">
      <c r="C56" s="437"/>
      <c r="D56" s="1057" t="str">
        <f>IF(G20=0,"","Fläche 2) Fläche in m² x Bodenrichtwert in €"&amp;IF(K16&gt;0," x  Miteigentumsanteil",""))</f>
        <v/>
      </c>
      <c r="E56" s="1058"/>
      <c r="F56" s="1058"/>
      <c r="G56" s="1058"/>
      <c r="H56" s="1058"/>
      <c r="I56" s="1058"/>
      <c r="J56" s="1058"/>
      <c r="K56" s="552"/>
      <c r="L56" s="553"/>
      <c r="M56" s="440"/>
    </row>
    <row r="57" spans="1:16" ht="12" customHeight="1" x14ac:dyDescent="0.2">
      <c r="A57" s="323" t="str">
        <f>IF(KPA!$O$21="leer","Ausblenden","Einblenden")</f>
        <v>Ausblenden</v>
      </c>
      <c r="C57" s="437"/>
      <c r="D57" s="1055" t="str">
        <f>IF(G20=0,"",ROUND(G20,0)&amp;" m² x "&amp;ROUND(K20,0)&amp;" €")</f>
        <v/>
      </c>
      <c r="E57" s="1056"/>
      <c r="F57" s="1060" t="str">
        <f>IF(G20=0,"",IF(K16&gt;0," x  Miteigentumsanteil ("&amp;G16&amp;"/"&amp;K16&amp;")  =","="))</f>
        <v/>
      </c>
      <c r="G57" s="1060"/>
      <c r="H57" s="1060"/>
      <c r="I57" s="1060"/>
      <c r="J57" s="1060"/>
      <c r="K57" s="1023">
        <f>IF(K16&gt;0,ROUND(G20,0)*ROUND(K20,0)*(G16/K16),ROUND(G20,0)*ROUND(K20,0))</f>
        <v>0</v>
      </c>
      <c r="L57" s="1024"/>
      <c r="M57" s="440"/>
    </row>
    <row r="58" spans="1:16" ht="12" customHeight="1" thickBot="1" x14ac:dyDescent="0.25">
      <c r="A58" s="323" t="str">
        <f>IF(KPA!$O$21="leer","Ausblenden","Einblenden")</f>
        <v>Ausblenden</v>
      </c>
      <c r="C58" s="437"/>
      <c r="D58" s="380"/>
      <c r="E58" s="381"/>
      <c r="F58" s="381"/>
      <c r="G58" s="381"/>
      <c r="H58" s="381"/>
      <c r="I58" s="381"/>
      <c r="J58" s="381"/>
      <c r="K58" s="382"/>
      <c r="L58" s="383"/>
      <c r="M58" s="440"/>
    </row>
    <row r="59" spans="1:16" ht="12" customHeight="1" thickBot="1" x14ac:dyDescent="0.25">
      <c r="A59" s="323" t="str">
        <f>IF(KPA!$O$21="leer","Ausblenden","Einblenden")</f>
        <v>Ausblenden</v>
      </c>
      <c r="C59" s="437"/>
      <c r="D59" s="554" t="s">
        <v>87</v>
      </c>
      <c r="E59" s="555"/>
      <c r="F59" s="555"/>
      <c r="G59" s="379"/>
      <c r="H59" s="379"/>
      <c r="I59" s="379"/>
      <c r="J59" s="384"/>
      <c r="K59" s="1021">
        <f>K55+K57</f>
        <v>0</v>
      </c>
      <c r="L59" s="1022"/>
      <c r="M59" s="440"/>
    </row>
    <row r="60" spans="1:16" ht="12" customHeight="1" thickTop="1" thickBot="1" x14ac:dyDescent="0.25">
      <c r="A60" s="323" t="str">
        <f>IF(KPA!$O$21="leer","Ausblenden","Einblenden")</f>
        <v>Ausblenden</v>
      </c>
      <c r="C60" s="437"/>
      <c r="D60" s="385"/>
      <c r="E60" s="386"/>
      <c r="F60" s="386"/>
      <c r="G60" s="387"/>
      <c r="H60" s="387"/>
      <c r="I60" s="387"/>
      <c r="J60" s="388"/>
      <c r="K60" s="389"/>
      <c r="L60" s="390"/>
      <c r="M60" s="440"/>
    </row>
    <row r="61" spans="1:16" ht="7.5" customHeight="1" thickBot="1" x14ac:dyDescent="0.25">
      <c r="A61" s="323" t="str">
        <f>IF(KPA!$O$21="leer","Ausblenden","Einblenden")</f>
        <v>Ausblenden</v>
      </c>
      <c r="C61" s="437"/>
      <c r="D61" s="480"/>
      <c r="E61" s="480"/>
      <c r="F61" s="480"/>
      <c r="G61" s="480"/>
      <c r="H61" s="480"/>
      <c r="I61" s="480"/>
      <c r="J61" s="481"/>
      <c r="K61" s="483"/>
      <c r="L61" s="483"/>
      <c r="M61" s="440"/>
    </row>
    <row r="62" spans="1:16" ht="19.5" customHeight="1" x14ac:dyDescent="0.2">
      <c r="A62" s="323" t="str">
        <f t="shared" ref="A62:A77" si="1">IF(A$44="Einblenden",IF(O$21="leer","Ausblenden","Einblenden"),"Ausblenden")</f>
        <v>Ausblenden</v>
      </c>
      <c r="C62" s="437"/>
      <c r="D62" s="1000" t="s">
        <v>252</v>
      </c>
      <c r="E62" s="1001"/>
      <c r="F62" s="1001"/>
      <c r="G62" s="1001"/>
      <c r="H62" s="1001"/>
      <c r="I62" s="1001"/>
      <c r="J62" s="1001"/>
      <c r="K62" s="1001"/>
      <c r="L62" s="1002"/>
      <c r="M62" s="440"/>
    </row>
    <row r="63" spans="1:16" ht="12" customHeight="1" x14ac:dyDescent="0.2">
      <c r="A63" s="323" t="str">
        <f t="shared" si="1"/>
        <v>Ausblenden</v>
      </c>
      <c r="C63" s="437"/>
      <c r="D63" s="984" t="s">
        <v>141</v>
      </c>
      <c r="E63" s="985"/>
      <c r="F63" s="985"/>
      <c r="G63" s="833" t="s">
        <v>155</v>
      </c>
      <c r="H63" s="110" t="s">
        <v>118</v>
      </c>
      <c r="I63" s="110"/>
      <c r="J63" s="833"/>
      <c r="K63" s="834"/>
      <c r="L63" s="396"/>
      <c r="M63" s="440"/>
    </row>
    <row r="64" spans="1:16" s="344" customFormat="1" ht="12" customHeight="1" x14ac:dyDescent="0.2">
      <c r="A64" s="323" t="str">
        <f t="shared" si="1"/>
        <v>Ausblenden</v>
      </c>
      <c r="C64" s="488"/>
      <c r="D64" s="402" t="e">
        <f>'SW-NHK'!F84</f>
        <v>#N/A</v>
      </c>
      <c r="E64" s="397"/>
      <c r="F64" s="398"/>
      <c r="G64" s="399" t="s">
        <v>60</v>
      </c>
      <c r="H64" s="400">
        <f>ROUND(K11,0)</f>
        <v>0</v>
      </c>
      <c r="I64" s="401"/>
      <c r="J64" s="835" t="s">
        <v>61</v>
      </c>
      <c r="K64" s="998" t="e">
        <f>D64*H64</f>
        <v>#N/A</v>
      </c>
      <c r="L64" s="999"/>
      <c r="M64" s="486"/>
      <c r="N64" s="345"/>
      <c r="O64" s="345"/>
    </row>
    <row r="65" spans="1:15" ht="12" customHeight="1" x14ac:dyDescent="0.2">
      <c r="A65" s="323" t="str">
        <f t="shared" si="1"/>
        <v>Ausblenden</v>
      </c>
      <c r="C65" s="437"/>
      <c r="D65" s="984" t="str">
        <f>IF(G13&gt;0,"Garagenstellplätze*","")</f>
        <v/>
      </c>
      <c r="E65" s="985"/>
      <c r="F65" s="985"/>
      <c r="G65" s="833" t="str">
        <f>IF(G13&gt;0,"x","")</f>
        <v/>
      </c>
      <c r="H65" s="985" t="str">
        <f>IF(G13&gt;0,"Anzahl","")</f>
        <v/>
      </c>
      <c r="I65" s="985"/>
      <c r="J65" s="985"/>
      <c r="K65" s="995"/>
      <c r="L65" s="996"/>
      <c r="M65" s="440"/>
    </row>
    <row r="66" spans="1:15" s="344" customFormat="1" ht="12" customHeight="1" x14ac:dyDescent="0.2">
      <c r="A66" s="323" t="str">
        <f t="shared" si="1"/>
        <v>Ausblenden</v>
      </c>
      <c r="C66" s="488"/>
      <c r="D66" s="402" t="str">
        <f>IF(G13=0,"",'SW-NHK'!G84)</f>
        <v/>
      </c>
      <c r="E66" s="398"/>
      <c r="F66" s="398"/>
      <c r="G66" s="835" t="str">
        <f>IF(G13=0,"","x")</f>
        <v/>
      </c>
      <c r="H66" s="400" t="str">
        <f>IF(G13=0,"",ROUND(G13,0))</f>
        <v/>
      </c>
      <c r="I66" s="401"/>
      <c r="J66" s="835" t="str">
        <f>IF(G13=0,"","=")</f>
        <v/>
      </c>
      <c r="K66" s="998" t="str">
        <f>IF(G13&gt;0,D66*H66,"")</f>
        <v/>
      </c>
      <c r="L66" s="999"/>
      <c r="M66" s="486"/>
      <c r="N66" s="345"/>
      <c r="O66" s="345"/>
    </row>
    <row r="67" spans="1:15" ht="12" customHeight="1" x14ac:dyDescent="0.2">
      <c r="A67" s="323" t="str">
        <f t="shared" si="1"/>
        <v>Ausblenden</v>
      </c>
      <c r="C67" s="437"/>
      <c r="D67" s="984" t="str">
        <f>IF(K13=0,"","Tiefgaragenstellplätze*")</f>
        <v/>
      </c>
      <c r="E67" s="985"/>
      <c r="F67" s="985"/>
      <c r="G67" s="833" t="str">
        <f>IF(K13=0,"","x")</f>
        <v/>
      </c>
      <c r="H67" s="985" t="str">
        <f>IF(K13=0,"","Anzahl")</f>
        <v/>
      </c>
      <c r="I67" s="985"/>
      <c r="J67" s="985"/>
      <c r="K67" s="995"/>
      <c r="L67" s="996"/>
      <c r="M67" s="440"/>
    </row>
    <row r="68" spans="1:15" s="346" customFormat="1" ht="12" customHeight="1" thickBot="1" x14ac:dyDescent="0.25">
      <c r="A68" s="323" t="str">
        <f t="shared" si="1"/>
        <v>Ausblenden</v>
      </c>
      <c r="C68" s="489"/>
      <c r="D68" s="402" t="str">
        <f>IF(K13=0,"",'SW-NHK'!H84)</f>
        <v/>
      </c>
      <c r="E68" s="398"/>
      <c r="F68" s="398"/>
      <c r="G68" s="835" t="str">
        <f>IF(K13=0,"","x")</f>
        <v/>
      </c>
      <c r="H68" s="400" t="str">
        <f>IF(K13=0,"",ROUND(K13,0))</f>
        <v/>
      </c>
      <c r="I68" s="401"/>
      <c r="J68" s="835" t="str">
        <f>IF(K13=0,"","=")</f>
        <v/>
      </c>
      <c r="K68" s="1031" t="str">
        <f>IF(K13&gt;0,D68*H68,"")</f>
        <v/>
      </c>
      <c r="L68" s="1032"/>
      <c r="M68" s="487"/>
      <c r="N68" s="347"/>
      <c r="O68" s="347"/>
    </row>
    <row r="69" spans="1:15" ht="12" customHeight="1" thickBot="1" x14ac:dyDescent="0.25">
      <c r="A69" s="323" t="str">
        <f t="shared" si="1"/>
        <v>Ausblenden</v>
      </c>
      <c r="C69" s="437"/>
      <c r="D69" s="977" t="s">
        <v>102</v>
      </c>
      <c r="E69" s="978"/>
      <c r="F69" s="979"/>
      <c r="G69" s="979"/>
      <c r="H69" s="979"/>
      <c r="I69" s="979"/>
      <c r="J69" s="979"/>
      <c r="K69" s="1025" t="e">
        <f>SUM(K64:K68)</f>
        <v>#N/A</v>
      </c>
      <c r="L69" s="1026"/>
      <c r="M69" s="440"/>
    </row>
    <row r="70" spans="1:15" ht="12" customHeight="1" thickTop="1" x14ac:dyDescent="0.2">
      <c r="A70" s="323" t="str">
        <f t="shared" si="1"/>
        <v>Ausblenden</v>
      </c>
      <c r="C70" s="437"/>
      <c r="D70" s="980" t="s">
        <v>393</v>
      </c>
      <c r="E70" s="981"/>
      <c r="F70" s="981"/>
      <c r="G70" s="981"/>
      <c r="H70" s="981"/>
      <c r="I70" s="981"/>
      <c r="J70" s="981"/>
      <c r="K70" s="827"/>
      <c r="L70" s="828"/>
      <c r="M70" s="440"/>
    </row>
    <row r="71" spans="1:15" ht="12" customHeight="1" x14ac:dyDescent="0.2">
      <c r="C71" s="437"/>
      <c r="D71" s="560"/>
      <c r="E71" s="352"/>
      <c r="F71" s="352"/>
      <c r="G71" s="352"/>
      <c r="H71" s="352"/>
      <c r="I71" s="352"/>
      <c r="J71" s="352"/>
      <c r="K71" s="827"/>
      <c r="L71" s="828"/>
      <c r="M71" s="440"/>
    </row>
    <row r="72" spans="1:15" ht="12" customHeight="1" x14ac:dyDescent="0.2">
      <c r="A72" s="323" t="str">
        <f t="shared" si="1"/>
        <v>Ausblenden</v>
      </c>
      <c r="C72" s="437"/>
      <c r="D72" s="1027" t="s">
        <v>395</v>
      </c>
      <c r="E72" s="1028"/>
      <c r="F72" s="1028"/>
      <c r="G72" s="1028"/>
      <c r="H72" s="352"/>
      <c r="I72" s="352"/>
      <c r="J72" s="352"/>
      <c r="K72" s="837" t="e">
        <f>K69+K59</f>
        <v>#N/A</v>
      </c>
      <c r="L72" s="831"/>
      <c r="M72" s="440"/>
    </row>
    <row r="73" spans="1:15" ht="12" customHeight="1" x14ac:dyDescent="0.2">
      <c r="C73" s="437"/>
      <c r="D73" s="560" t="s">
        <v>394</v>
      </c>
      <c r="E73" s="352"/>
      <c r="F73" s="352"/>
      <c r="G73" s="352"/>
      <c r="H73" s="352"/>
      <c r="I73" s="352"/>
      <c r="J73" s="352"/>
      <c r="K73" s="836" t="str">
        <f>"x "&amp;ROUND(K47,4)</f>
        <v>x 1</v>
      </c>
      <c r="L73" s="831"/>
      <c r="M73" s="440"/>
    </row>
    <row r="74" spans="1:15" ht="12" customHeight="1" x14ac:dyDescent="0.2">
      <c r="A74" s="323" t="str">
        <f t="shared" si="1"/>
        <v>Ausblenden</v>
      </c>
      <c r="C74" s="437"/>
      <c r="D74" s="560"/>
      <c r="E74" s="352"/>
      <c r="F74" s="352"/>
      <c r="G74" s="352"/>
      <c r="H74" s="352"/>
      <c r="I74" s="352"/>
      <c r="J74" s="352"/>
      <c r="K74" s="830"/>
      <c r="L74" s="832"/>
      <c r="M74" s="440"/>
    </row>
    <row r="75" spans="1:15" ht="12" customHeight="1" x14ac:dyDescent="0.2">
      <c r="A75" s="323" t="str">
        <f t="shared" si="1"/>
        <v>Ausblenden</v>
      </c>
      <c r="C75" s="437"/>
      <c r="D75" s="1027" t="s">
        <v>397</v>
      </c>
      <c r="E75" s="1028"/>
      <c r="F75" s="1028"/>
      <c r="G75" s="1028"/>
      <c r="H75" s="352"/>
      <c r="I75" s="352"/>
      <c r="J75" s="352"/>
      <c r="K75" s="1029" t="e">
        <f>ROUND(K47,4)*K72</f>
        <v>#N/A</v>
      </c>
      <c r="L75" s="1030"/>
      <c r="M75" s="440"/>
    </row>
    <row r="76" spans="1:15" ht="12" customHeight="1" thickBot="1" x14ac:dyDescent="0.25">
      <c r="A76" s="323" t="str">
        <f t="shared" si="1"/>
        <v>Ausblenden</v>
      </c>
      <c r="C76" s="437"/>
      <c r="D76" s="403"/>
      <c r="E76" s="404"/>
      <c r="F76" s="404"/>
      <c r="G76" s="404"/>
      <c r="H76" s="404"/>
      <c r="I76" s="404"/>
      <c r="J76" s="404"/>
      <c r="K76" s="825"/>
      <c r="L76" s="826"/>
      <c r="M76" s="440"/>
    </row>
    <row r="77" spans="1:15" ht="4.5" customHeight="1" thickBot="1" x14ac:dyDescent="0.25">
      <c r="A77" s="323" t="str">
        <f t="shared" si="1"/>
        <v>Ausblenden</v>
      </c>
      <c r="C77" s="437"/>
      <c r="D77" s="490"/>
      <c r="E77" s="490"/>
      <c r="F77" s="490"/>
      <c r="G77" s="490"/>
      <c r="H77" s="490"/>
      <c r="I77" s="490"/>
      <c r="J77" s="490"/>
      <c r="K77" s="491"/>
      <c r="L77" s="492"/>
      <c r="M77" s="440"/>
    </row>
    <row r="78" spans="1:15" ht="12" customHeight="1" x14ac:dyDescent="0.2">
      <c r="A78" s="323" t="str">
        <f>IF(A$40="Einblenden","Einblenden","Ausblenden")</f>
        <v>Ausblenden</v>
      </c>
      <c r="C78" s="437"/>
      <c r="D78" s="1017" t="s">
        <v>235</v>
      </c>
      <c r="E78" s="1018"/>
      <c r="F78" s="1018"/>
      <c r="G78" s="1018"/>
      <c r="H78" s="1018"/>
      <c r="I78" s="1018"/>
      <c r="J78" s="1018"/>
      <c r="K78" s="405"/>
      <c r="L78" s="406"/>
      <c r="M78" s="440"/>
    </row>
    <row r="79" spans="1:15" ht="6.75" customHeight="1" x14ac:dyDescent="0.2">
      <c r="A79" s="323" t="str">
        <f>IF(A$40="Einblenden","Einblenden","Ausblenden")</f>
        <v>Ausblenden</v>
      </c>
      <c r="C79" s="437"/>
      <c r="D79" s="407"/>
      <c r="E79" s="408"/>
      <c r="F79" s="408"/>
      <c r="G79" s="408"/>
      <c r="H79" s="408"/>
      <c r="I79" s="408"/>
      <c r="J79" s="408"/>
      <c r="K79" s="391"/>
      <c r="L79" s="409"/>
      <c r="M79" s="440"/>
    </row>
    <row r="80" spans="1:15" ht="12.75" customHeight="1" x14ac:dyDescent="0.2">
      <c r="A80" s="323" t="str">
        <f>IF(A$40="Einblenden","Einblenden","Ausblenden")</f>
        <v>Ausblenden</v>
      </c>
      <c r="C80" s="437"/>
      <c r="D80" s="1019" t="s">
        <v>236</v>
      </c>
      <c r="E80" s="1020"/>
      <c r="F80" s="1020"/>
      <c r="G80" s="1020"/>
      <c r="H80" s="1020"/>
      <c r="I80" s="1020"/>
      <c r="J80" s="1020"/>
      <c r="K80" s="391">
        <f>G40*12</f>
        <v>0</v>
      </c>
      <c r="L80" s="409"/>
      <c r="M80" s="440"/>
    </row>
    <row r="81" spans="1:13" ht="3" customHeight="1" x14ac:dyDescent="0.2">
      <c r="A81" s="374" t="str">
        <f t="shared" ref="A81" si="2">IF(A$36="Einblenden","Einblenden","Ausblenden")</f>
        <v>Ausblenden</v>
      </c>
      <c r="C81" s="437"/>
      <c r="D81" s="545"/>
      <c r="E81" s="546"/>
      <c r="F81" s="546"/>
      <c r="G81" s="546"/>
      <c r="H81" s="546"/>
      <c r="I81" s="546"/>
      <c r="J81" s="546"/>
      <c r="K81" s="391"/>
      <c r="L81" s="409"/>
      <c r="M81" s="440"/>
    </row>
    <row r="82" spans="1:13" ht="3" customHeight="1" x14ac:dyDescent="0.2">
      <c r="A82" s="374" t="s">
        <v>262</v>
      </c>
      <c r="C82" s="437"/>
      <c r="D82" s="549" t="s">
        <v>245</v>
      </c>
      <c r="E82" s="392"/>
      <c r="F82" s="392"/>
      <c r="G82" s="392"/>
      <c r="H82" s="392"/>
      <c r="I82" s="392"/>
      <c r="J82" s="392"/>
      <c r="K82" s="392" t="e">
        <f>'SW-NHK'!F82</f>
        <v>#N/A</v>
      </c>
      <c r="L82" s="409"/>
      <c r="M82" s="440"/>
    </row>
    <row r="83" spans="1:13" ht="3" customHeight="1" x14ac:dyDescent="0.2">
      <c r="A83" s="374" t="str">
        <f>"Ausblenden"</f>
        <v>Ausblenden</v>
      </c>
      <c r="C83" s="437"/>
      <c r="D83" s="410"/>
      <c r="E83" s="411"/>
      <c r="F83" s="411"/>
      <c r="G83" s="411"/>
      <c r="H83" s="411"/>
      <c r="I83" s="411"/>
      <c r="J83" s="411"/>
      <c r="K83" s="392" t="e">
        <f>IF(K82&lt;20,5,IF(K82&lt;=39,4,IF(K82&lt;=59,3,2)))</f>
        <v>#N/A</v>
      </c>
      <c r="L83" s="409"/>
      <c r="M83" s="440"/>
    </row>
    <row r="84" spans="1:13" ht="3" customHeight="1" x14ac:dyDescent="0.2">
      <c r="A84" s="374" t="str">
        <f>"Ausblenden"</f>
        <v>Ausblenden</v>
      </c>
      <c r="C84" s="437"/>
      <c r="D84" s="410"/>
      <c r="E84" s="411"/>
      <c r="F84" s="411"/>
      <c r="G84" s="411"/>
      <c r="H84" s="411"/>
      <c r="I84" s="411"/>
      <c r="J84" s="411"/>
      <c r="K84" s="392"/>
      <c r="L84" s="409"/>
      <c r="M84" s="440"/>
    </row>
    <row r="85" spans="1:13" ht="12.75" customHeight="1" x14ac:dyDescent="0.2">
      <c r="A85" s="323" t="str">
        <f>IF(A$40="Einblenden","Einblenden","Ausblenden")</f>
        <v>Ausblenden</v>
      </c>
      <c r="C85" s="437"/>
      <c r="D85" s="1019" t="str">
        <f>IF(KPA!G9&lt;DATE(2015,1,1),"./. Bewirtschaftungskosten (nach Anlage 23/40 BewG)","./. Bewirtschaftungskosten (analog ImmoWertV 2021, Anlage 3)")</f>
        <v>./. Bewirtschaftungskosten (nach Anlage 23/40 BewG)</v>
      </c>
      <c r="E85" s="1020"/>
      <c r="F85" s="1020"/>
      <c r="G85" s="1020"/>
      <c r="H85" s="1020"/>
      <c r="I85" s="1020"/>
      <c r="J85" s="1020"/>
      <c r="K85" s="630" t="e">
        <f>'EW-BWK'!K112</f>
        <v>#N/A</v>
      </c>
      <c r="L85" s="409"/>
      <c r="M85" s="440"/>
    </row>
    <row r="86" spans="1:13" ht="16.5" customHeight="1" x14ac:dyDescent="0.2">
      <c r="A86" s="323" t="str">
        <f t="shared" ref="A86:A92" si="3">IF(A$40="Einblenden","Einblenden","Ausblenden")</f>
        <v>Ausblenden</v>
      </c>
      <c r="C86" s="437"/>
      <c r="D86" s="410"/>
      <c r="E86" s="411"/>
      <c r="F86" s="411"/>
      <c r="G86" s="411"/>
      <c r="H86" s="411"/>
      <c r="I86" s="411"/>
      <c r="J86" s="411"/>
      <c r="K86" s="391"/>
      <c r="L86" s="409"/>
      <c r="M86" s="440"/>
    </row>
    <row r="87" spans="1:13" ht="12.75" customHeight="1" x14ac:dyDescent="0.2">
      <c r="A87" s="323" t="str">
        <f t="shared" si="3"/>
        <v>Ausblenden</v>
      </c>
      <c r="C87" s="437"/>
      <c r="D87" s="1019" t="s">
        <v>242</v>
      </c>
      <c r="E87" s="1020"/>
      <c r="F87" s="1020"/>
      <c r="G87" s="1020"/>
      <c r="H87" s="1020"/>
      <c r="I87" s="1020"/>
      <c r="J87" s="1020"/>
      <c r="K87" s="391" t="e">
        <f>K80-K85</f>
        <v>#N/A</v>
      </c>
      <c r="L87" s="409"/>
      <c r="M87" s="440"/>
    </row>
    <row r="88" spans="1:13" ht="5.25" customHeight="1" x14ac:dyDescent="0.2">
      <c r="A88" s="374" t="s">
        <v>262</v>
      </c>
      <c r="C88" s="437"/>
      <c r="D88" s="1033"/>
      <c r="E88" s="1034"/>
      <c r="F88" s="1034"/>
      <c r="G88" s="1034"/>
      <c r="H88" s="1034"/>
      <c r="I88" s="1034"/>
      <c r="J88" s="1034"/>
      <c r="K88" s="515">
        <f>IF(G10&lt;2010,7,IF(G10&gt;2026,25,G10-2002))</f>
        <v>7</v>
      </c>
      <c r="L88" s="409"/>
      <c r="M88" s="440"/>
    </row>
    <row r="89" spans="1:13" ht="5.25" customHeight="1" x14ac:dyDescent="0.2">
      <c r="A89" s="374" t="s">
        <v>262</v>
      </c>
      <c r="C89" s="437"/>
      <c r="D89" s="1033" t="s">
        <v>251</v>
      </c>
      <c r="E89" s="1034"/>
      <c r="F89" s="1034"/>
      <c r="G89" s="1034"/>
      <c r="H89" s="1034"/>
      <c r="I89" s="1034"/>
      <c r="J89" s="1034"/>
      <c r="K89" s="515" t="e">
        <f>IF(K37="",VLOOKUP(KPA!E7,'EW-Bewertungsparameter'!A8:Y71,K88,0),ROUND(K37,2))</f>
        <v>#N/A</v>
      </c>
      <c r="L89" s="409"/>
      <c r="M89" s="440"/>
    </row>
    <row r="90" spans="1:13" ht="12.75" customHeight="1" x14ac:dyDescent="0.2">
      <c r="A90" s="323" t="str">
        <f t="shared" si="3"/>
        <v>Ausblenden</v>
      </c>
      <c r="C90" s="437"/>
      <c r="D90" s="1019" t="e">
        <f><![CDATA["./. Bodenwertverzinsung (nur Fläche 1 ["&D55&" "&IF(K16>0," x  Miteigentumsanteil ("&G16&"/"&K16&")]; Zinssatz "&K89&"%)",""&"]; Zinssatz "&K89&"%)")]]></f>
        <v>#N/A</v>
      </c>
      <c r="E90" s="1020"/>
      <c r="F90" s="1020"/>
      <c r="G90" s="1020"/>
      <c r="H90" s="1020"/>
      <c r="I90" s="1020"/>
      <c r="J90" s="1020"/>
      <c r="K90" s="391" t="e">
        <f>K55*K89/100</f>
        <v>#N/A</v>
      </c>
      <c r="L90" s="409"/>
      <c r="M90" s="440"/>
    </row>
    <row r="91" spans="1:13" ht="6.75" customHeight="1" x14ac:dyDescent="0.2">
      <c r="A91" s="323" t="str">
        <f t="shared" si="3"/>
        <v>Ausblenden</v>
      </c>
      <c r="C91" s="437"/>
      <c r="D91" s="410"/>
      <c r="E91" s="411"/>
      <c r="F91" s="411"/>
      <c r="G91" s="411"/>
      <c r="H91" s="411"/>
      <c r="I91" s="411"/>
      <c r="J91" s="411"/>
      <c r="K91" s="391"/>
      <c r="L91" s="409"/>
      <c r="M91" s="440"/>
    </row>
    <row r="92" spans="1:13" ht="11.25" customHeight="1" x14ac:dyDescent="0.2">
      <c r="A92" s="323" t="str">
        <f t="shared" si="3"/>
        <v>Ausblenden</v>
      </c>
      <c r="C92" s="437"/>
      <c r="D92" s="1019" t="s">
        <v>243</v>
      </c>
      <c r="E92" s="1020"/>
      <c r="F92" s="1020"/>
      <c r="G92" s="1020"/>
      <c r="H92" s="1020"/>
      <c r="I92" s="1020"/>
      <c r="J92" s="1020"/>
      <c r="K92" s="391" t="e">
        <f>K87-K90</f>
        <v>#N/A</v>
      </c>
      <c r="L92" s="409"/>
      <c r="M92" s="440"/>
    </row>
    <row r="93" spans="1:13" ht="3.75" customHeight="1" x14ac:dyDescent="0.2">
      <c r="A93" s="374" t="s">
        <v>262</v>
      </c>
      <c r="C93" s="437"/>
      <c r="D93" s="1019" t="s">
        <v>245</v>
      </c>
      <c r="E93" s="1020"/>
      <c r="F93" s="1020"/>
      <c r="G93" s="1020"/>
      <c r="H93" s="1020"/>
      <c r="I93" s="1020"/>
      <c r="J93" s="1020"/>
      <c r="K93" s="392" t="e">
        <f>'SW-NHK'!F82</f>
        <v>#N/A</v>
      </c>
      <c r="L93" s="412"/>
      <c r="M93" s="440"/>
    </row>
    <row r="94" spans="1:13" ht="3.75" customHeight="1" x14ac:dyDescent="0.2">
      <c r="A94" s="374" t="s">
        <v>262</v>
      </c>
      <c r="C94" s="437"/>
      <c r="D94" s="410" t="s">
        <v>244</v>
      </c>
      <c r="E94" s="411"/>
      <c r="F94" s="411"/>
      <c r="G94" s="411"/>
      <c r="H94" s="411"/>
      <c r="I94" s="411"/>
      <c r="J94" s="411"/>
      <c r="K94" s="393" t="e">
        <f>ROUND(((1+K89/100)^K93-1)/((1+K89/100)^K93*((1+K89/100)-1)),4)</f>
        <v>#N/A</v>
      </c>
      <c r="L94" s="409"/>
      <c r="M94" s="440"/>
    </row>
    <row r="95" spans="1:13" ht="12" customHeight="1" x14ac:dyDescent="0.2">
      <c r="A95" s="323" t="str">
        <f>IF(A$40="Einblenden","Einblenden","Ausblenden")</f>
        <v>Ausblenden</v>
      </c>
      <c r="C95" s="437"/>
      <c r="D95" s="1019" t="e">
        <f><![CDATA["Kapitalisierung (Zinssatz: "&K89&"%; Restnutzungsdauer: "&K93&" Jahre; Kapitalisierungsfaktor: "&K94&")"]]></f>
        <v>#N/A</v>
      </c>
      <c r="E95" s="1020"/>
      <c r="F95" s="1020"/>
      <c r="G95" s="1020"/>
      <c r="H95" s="1020"/>
      <c r="I95" s="1020"/>
      <c r="J95" s="1020"/>
      <c r="K95" s="391"/>
      <c r="L95" s="409"/>
      <c r="M95" s="440"/>
    </row>
    <row r="96" spans="1:13" ht="6.75" customHeight="1" x14ac:dyDescent="0.2">
      <c r="A96" s="323" t="str">
        <f t="shared" ref="A96:A101" si="4">IF(A$40="Einblenden","Einblenden","Ausblenden")</f>
        <v>Ausblenden</v>
      </c>
      <c r="C96" s="437"/>
      <c r="D96" s="410"/>
      <c r="E96" s="411"/>
      <c r="F96" s="411"/>
      <c r="G96" s="411"/>
      <c r="H96" s="411"/>
      <c r="I96" s="411"/>
      <c r="J96" s="411"/>
      <c r="K96" s="391"/>
      <c r="L96" s="409"/>
      <c r="M96" s="440"/>
    </row>
    <row r="97" spans="1:15" ht="12" customHeight="1" x14ac:dyDescent="0.2">
      <c r="A97" s="323" t="str">
        <f t="shared" si="4"/>
        <v>Ausblenden</v>
      </c>
      <c r="C97" s="437"/>
      <c r="D97" s="1019" t="s">
        <v>246</v>
      </c>
      <c r="E97" s="1020"/>
      <c r="F97" s="1020"/>
      <c r="G97" s="1020"/>
      <c r="H97" s="1020"/>
      <c r="I97" s="1020"/>
      <c r="J97" s="1020"/>
      <c r="K97" s="391" t="e">
        <f>K92*K94</f>
        <v>#N/A</v>
      </c>
      <c r="L97" s="409"/>
      <c r="M97" s="440"/>
    </row>
    <row r="98" spans="1:15" ht="6.75" customHeight="1" x14ac:dyDescent="0.2">
      <c r="A98" s="323" t="str">
        <f t="shared" si="4"/>
        <v>Ausblenden</v>
      </c>
      <c r="C98" s="437"/>
      <c r="D98" s="410"/>
      <c r="E98" s="411"/>
      <c r="F98" s="411"/>
      <c r="G98" s="411"/>
      <c r="H98" s="411"/>
      <c r="I98" s="411"/>
      <c r="J98" s="411"/>
      <c r="K98" s="391"/>
      <c r="L98" s="409"/>
      <c r="M98" s="440"/>
    </row>
    <row r="99" spans="1:15" ht="12" customHeight="1" x14ac:dyDescent="0.2">
      <c r="A99" s="323" t="str">
        <f t="shared" si="4"/>
        <v>Ausblenden</v>
      </c>
      <c r="C99" s="437"/>
      <c r="D99" s="1019" t="s">
        <v>247</v>
      </c>
      <c r="E99" s="1020"/>
      <c r="F99" s="1020"/>
      <c r="G99" s="1020"/>
      <c r="H99" s="1020"/>
      <c r="I99" s="1020"/>
      <c r="J99" s="1020"/>
      <c r="K99" s="394">
        <f>K59</f>
        <v>0</v>
      </c>
      <c r="L99" s="409"/>
      <c r="M99" s="440"/>
    </row>
    <row r="100" spans="1:15" ht="7.5" customHeight="1" x14ac:dyDescent="0.2">
      <c r="A100" s="323" t="str">
        <f t="shared" si="4"/>
        <v>Ausblenden</v>
      </c>
      <c r="C100" s="437"/>
      <c r="D100" s="407"/>
      <c r="E100" s="408"/>
      <c r="F100" s="408"/>
      <c r="G100" s="408"/>
      <c r="H100" s="408"/>
      <c r="I100" s="408"/>
      <c r="J100" s="408"/>
      <c r="K100" s="391"/>
      <c r="L100" s="409"/>
      <c r="M100" s="440"/>
    </row>
    <row r="101" spans="1:15" ht="18" customHeight="1" thickBot="1" x14ac:dyDescent="0.25">
      <c r="A101" s="323" t="str">
        <f t="shared" si="4"/>
        <v>Ausblenden</v>
      </c>
      <c r="C101" s="437"/>
      <c r="D101" s="413" t="s">
        <v>248</v>
      </c>
      <c r="E101" s="414"/>
      <c r="F101" s="414"/>
      <c r="G101" s="414"/>
      <c r="H101" s="414"/>
      <c r="I101" s="414"/>
      <c r="J101" s="414"/>
      <c r="K101" s="395" t="e">
        <f>K97+K99</f>
        <v>#N/A</v>
      </c>
      <c r="L101" s="415"/>
      <c r="M101" s="440"/>
    </row>
    <row r="102" spans="1:15" ht="4.5" customHeight="1" thickBot="1" x14ac:dyDescent="0.25">
      <c r="A102" s="323" t="str">
        <f>IF(A$40="Einblenden",IF(O$21="leer","Ausblenden","Einblenden"),"Ausblenden")</f>
        <v>Ausblenden</v>
      </c>
      <c r="C102" s="437"/>
      <c r="D102" s="490"/>
      <c r="E102" s="490"/>
      <c r="F102" s="490"/>
      <c r="G102" s="490"/>
      <c r="H102" s="490"/>
      <c r="I102" s="490"/>
      <c r="J102" s="490"/>
      <c r="K102" s="491"/>
      <c r="L102" s="492"/>
      <c r="M102" s="440"/>
    </row>
    <row r="103" spans="1:15" ht="12" customHeight="1" x14ac:dyDescent="0.2">
      <c r="A103" s="323" t="str">
        <f t="shared" ref="A103:A113" si="5">IF(A$28="Einblenden","Einblenden","Ausblenden")</f>
        <v>Ausblenden</v>
      </c>
      <c r="C103" s="437"/>
      <c r="D103" s="1043" t="s">
        <v>249</v>
      </c>
      <c r="E103" s="1044"/>
      <c r="F103" s="1044"/>
      <c r="G103" s="1044"/>
      <c r="H103" s="1044"/>
      <c r="I103" s="1044"/>
      <c r="J103" s="1044"/>
      <c r="K103" s="416"/>
      <c r="L103" s="417"/>
      <c r="M103" s="440"/>
    </row>
    <row r="104" spans="1:15" ht="12" customHeight="1" x14ac:dyDescent="0.2">
      <c r="A104" s="323" t="str">
        <f t="shared" si="5"/>
        <v>Ausblenden</v>
      </c>
      <c r="C104" s="437"/>
      <c r="D104" s="418"/>
      <c r="E104" s="419"/>
      <c r="F104" s="419"/>
      <c r="G104" s="419"/>
      <c r="H104" s="419"/>
      <c r="I104" s="419"/>
      <c r="J104" s="419"/>
      <c r="K104" s="420"/>
      <c r="L104" s="421"/>
      <c r="M104" s="440"/>
    </row>
    <row r="105" spans="1:15" ht="12" customHeight="1" x14ac:dyDescent="0.2">
      <c r="A105" s="323" t="str">
        <f t="shared" si="5"/>
        <v>Ausblenden</v>
      </c>
      <c r="C105" s="437"/>
      <c r="D105" s="1045" t="s">
        <v>312</v>
      </c>
      <c r="E105" s="1046"/>
      <c r="F105" s="1046"/>
      <c r="G105" s="1046"/>
      <c r="H105" s="1046"/>
      <c r="I105" s="1046"/>
      <c r="J105" s="1046"/>
      <c r="K105" s="422">
        <f>ROUND(G28,0)</f>
        <v>0</v>
      </c>
      <c r="L105" s="421"/>
      <c r="M105" s="440"/>
    </row>
    <row r="106" spans="1:15" ht="9" customHeight="1" x14ac:dyDescent="0.2">
      <c r="A106" s="323" t="str">
        <f t="shared" si="5"/>
        <v>Ausblenden</v>
      </c>
      <c r="C106" s="437"/>
      <c r="D106" s="423"/>
      <c r="E106" s="424"/>
      <c r="F106" s="424"/>
      <c r="G106" s="424"/>
      <c r="H106" s="424"/>
      <c r="I106" s="424"/>
      <c r="J106" s="424"/>
      <c r="K106" s="425"/>
      <c r="L106" s="421"/>
      <c r="M106" s="440"/>
    </row>
    <row r="107" spans="1:15" ht="12" customHeight="1" x14ac:dyDescent="0.2">
      <c r="A107" s="323" t="str">
        <f t="shared" si="5"/>
        <v>Ausblenden</v>
      </c>
      <c r="C107" s="437"/>
      <c r="D107" s="1045" t="str">
        <f><![CDATA[IF(K26="Wohn- bzw. Nutzfläche","Multiplikation mit Wohn- bzw. Nutzfläche ("&K11&" m²   x   "&K105&" €/m²) =","Multiplikation mit Bruttogrundfläche (gemäß Gebäudetyp geschätzt;  "&K11&" m²  x Faktor "&'SW-NHK'!F75&"  x  "&K105&" €/m²) =")]]></f>
        <v>Multiplikation mit Wohn- bzw. Nutzfläche ( m²   x   0 €/m²) =</v>
      </c>
      <c r="E107" s="1046"/>
      <c r="F107" s="1046"/>
      <c r="G107" s="1046"/>
      <c r="H107" s="1046"/>
      <c r="I107" s="1046"/>
      <c r="J107" s="1046"/>
      <c r="K107" s="426">
        <f>IF(K26="Wohn- bzw. Nutzfläche",K105*K11,K105*K11*'SW-NHK'!F75)</f>
        <v>0</v>
      </c>
      <c r="L107" s="421"/>
      <c r="M107" s="440"/>
      <c r="O107" s="543"/>
    </row>
    <row r="108" spans="1:15" ht="9" customHeight="1" x14ac:dyDescent="0.2">
      <c r="A108" s="323" t="str">
        <f t="shared" si="5"/>
        <v>Ausblenden</v>
      </c>
      <c r="C108" s="437"/>
      <c r="D108" s="423"/>
      <c r="E108" s="424"/>
      <c r="F108" s="424"/>
      <c r="G108" s="424"/>
      <c r="H108" s="424"/>
      <c r="I108" s="424"/>
      <c r="J108" s="424"/>
      <c r="K108" s="420"/>
      <c r="L108" s="421"/>
      <c r="M108" s="440"/>
      <c r="O108" s="374"/>
    </row>
    <row r="109" spans="1:15" ht="12" customHeight="1" x14ac:dyDescent="0.2">
      <c r="A109" s="323" t="str">
        <f t="shared" si="5"/>
        <v>Ausblenden</v>
      </c>
      <c r="C109" s="437"/>
      <c r="D109" s="1045" t="str">
        <f>"zzgl. Vergleichsfaktor (Garagenstellplatz) x Anzahl = "&amp;ROUND(G31,0)&amp;",-€ x "&amp;G13&amp;" ="</f>
        <v>zzgl. Vergleichsfaktor (Garagenstellplatz) x Anzahl = 0,-€ x  =</v>
      </c>
      <c r="E109" s="1046"/>
      <c r="F109" s="1046"/>
      <c r="G109" s="1046"/>
      <c r="H109" s="1046"/>
      <c r="I109" s="1046"/>
      <c r="J109" s="1046"/>
      <c r="K109" s="420">
        <f>ROUND(G31,0)*G13</f>
        <v>0</v>
      </c>
      <c r="L109" s="421"/>
      <c r="M109" s="440"/>
    </row>
    <row r="110" spans="1:15" ht="12" customHeight="1" x14ac:dyDescent="0.2">
      <c r="A110" s="323" t="str">
        <f t="shared" si="5"/>
        <v>Ausblenden</v>
      </c>
      <c r="C110" s="437"/>
      <c r="D110" s="1045" t="str">
        <f>"zzgl. Vergleichsfaktor (Tiefgaragenstellplatz) x Anzahl = "&amp;ROUND(G33,0)&amp;",-€ x "&amp;K13&amp;" ="</f>
        <v>zzgl. Vergleichsfaktor (Tiefgaragenstellplatz) x Anzahl = 0,-€ x  =</v>
      </c>
      <c r="E110" s="1046"/>
      <c r="F110" s="1046"/>
      <c r="G110" s="1046"/>
      <c r="H110" s="1046"/>
      <c r="I110" s="1046"/>
      <c r="J110" s="1046"/>
      <c r="K110" s="420">
        <f>ROUND(G33,0)*K13</f>
        <v>0</v>
      </c>
      <c r="L110" s="421"/>
      <c r="M110" s="440"/>
    </row>
    <row r="111" spans="1:15" ht="9" customHeight="1" x14ac:dyDescent="0.2">
      <c r="A111" s="323" t="str">
        <f t="shared" si="5"/>
        <v>Ausblenden</v>
      </c>
      <c r="C111" s="437"/>
      <c r="D111" s="418"/>
      <c r="E111" s="419"/>
      <c r="F111" s="419"/>
      <c r="G111" s="419"/>
      <c r="H111" s="419"/>
      <c r="I111" s="419"/>
      <c r="J111" s="419"/>
      <c r="K111" s="420"/>
      <c r="L111" s="421"/>
      <c r="M111" s="440"/>
    </row>
    <row r="112" spans="1:15" ht="16.5" customHeight="1" thickBot="1" x14ac:dyDescent="0.25">
      <c r="A112" s="323" t="str">
        <f t="shared" si="5"/>
        <v>Ausblenden</v>
      </c>
      <c r="C112" s="437"/>
      <c r="D112" s="427" t="s">
        <v>250</v>
      </c>
      <c r="E112" s="428"/>
      <c r="F112" s="428"/>
      <c r="G112" s="428"/>
      <c r="H112" s="428"/>
      <c r="I112" s="428"/>
      <c r="J112" s="428"/>
      <c r="K112" s="429">
        <f>K107+K109+K110</f>
        <v>0</v>
      </c>
      <c r="L112" s="430"/>
      <c r="M112" s="440"/>
    </row>
    <row r="113" spans="1:15" ht="24" customHeight="1" thickBot="1" x14ac:dyDescent="0.25">
      <c r="A113" s="323" t="str">
        <f t="shared" si="5"/>
        <v>Ausblenden</v>
      </c>
      <c r="C113" s="437"/>
      <c r="D113" s="480"/>
      <c r="E113" s="480"/>
      <c r="F113" s="480"/>
      <c r="G113" s="480"/>
      <c r="H113" s="480"/>
      <c r="I113" s="480"/>
      <c r="J113" s="480"/>
      <c r="K113" s="481"/>
      <c r="L113" s="482"/>
      <c r="M113" s="440"/>
    </row>
    <row r="114" spans="1:15" ht="17.25" customHeight="1" x14ac:dyDescent="0.2">
      <c r="A114" s="323" t="str">
        <f>IF(KPA!$O$21="leer","Ausblenden","Einblenden")</f>
        <v>Ausblenden</v>
      </c>
      <c r="C114" s="437"/>
      <c r="D114" s="1051" t="str">
        <f>IF(A28="Einblenden","Vorläufiger Vergleichswert",IF(A$78="Einblenden","Vorläufiger Ertragswert","(Marktangepasster) vorläufiger Sachwert"))</f>
        <v>(Marktangepasster) vorläufiger Sachwert</v>
      </c>
      <c r="E114" s="1052"/>
      <c r="F114" s="861" t="str">
        <f>IF(A28="Einblenden","vorläufiger Vergleichswert",IF(A$78="Einblenden","vorläufiger Ertragswert","(marktangepasster) vorläufiger Sachwert"))</f>
        <v>(marktangepasster) vorläufiger Sachwert</v>
      </c>
      <c r="G114" s="348"/>
      <c r="H114" s="348"/>
      <c r="I114" s="348"/>
      <c r="J114" s="348"/>
      <c r="K114" s="349" t="e">
        <f>IF(D114="Vorläufiger Ertragswert",K101,IF(D114="Vorläufiger Vergleichswert",K112,K75))</f>
        <v>#N/A</v>
      </c>
      <c r="L114" s="350"/>
      <c r="M114" s="440"/>
    </row>
    <row r="115" spans="1:15" ht="12" customHeight="1" x14ac:dyDescent="0.2">
      <c r="A115" s="323" t="str">
        <f>IF(KPA!$O$21="leer","Ausblenden","Einblenden")</f>
        <v>Ausblenden</v>
      </c>
      <c r="C115" s="437"/>
      <c r="D115" s="1049" t="e">
        <f>IF(K116&lt;1,D114&amp;" nicht plausibel, da Missverhältniss zum Bodenwert! Ggf. Liquidationsobjekt!","")</f>
        <v>#N/A</v>
      </c>
      <c r="E115" s="1050"/>
      <c r="F115" s="1050"/>
      <c r="G115" s="1050"/>
      <c r="H115" s="1050"/>
      <c r="I115" s="1050"/>
      <c r="J115" s="1050"/>
      <c r="K115" s="1050"/>
      <c r="L115" s="204"/>
      <c r="M115" s="440"/>
    </row>
    <row r="116" spans="1:15" ht="24.75" customHeight="1" thickBot="1" x14ac:dyDescent="0.25">
      <c r="A116" s="323" t="str">
        <f>IF(KPA!$O$21="leer","Ausblenden","Einblenden")</f>
        <v>Ausblenden</v>
      </c>
      <c r="C116" s="437"/>
      <c r="D116" s="1047" t="str">
        <f>"Wertanteil der baulichen Anlagen/Gebäude in % = 100 x ("&amp;F114&amp;" - Bodenwert) / "&amp;F114&amp;"="</f>
        <v>Wertanteil der baulichen Anlagen/Gebäude in % = 100 x ((marktangepasster) vorläufiger Sachwert - Bodenwert) / (marktangepasster) vorläufiger Sachwert=</v>
      </c>
      <c r="E116" s="1048"/>
      <c r="F116" s="1048"/>
      <c r="G116" s="1048"/>
      <c r="H116" s="1048"/>
      <c r="I116" s="1048"/>
      <c r="J116" s="1048"/>
      <c r="K116" s="316" t="e">
        <f>ROUNDUP(100*(K114-K59)/K114,2)</f>
        <v>#N/A</v>
      </c>
      <c r="L116" s="351"/>
      <c r="M116" s="440"/>
    </row>
    <row r="117" spans="1:15" ht="7.5" customHeight="1" thickBot="1" x14ac:dyDescent="0.25">
      <c r="A117" s="323" t="str">
        <f>IF(KPA!$O$21="leer","Ausblenden","Einblenden")</f>
        <v>Ausblenden</v>
      </c>
      <c r="C117" s="437"/>
      <c r="D117" s="480"/>
      <c r="E117" s="480"/>
      <c r="F117" s="480"/>
      <c r="G117" s="480"/>
      <c r="H117" s="480"/>
      <c r="I117" s="480"/>
      <c r="J117" s="480"/>
      <c r="K117" s="481"/>
      <c r="L117" s="482"/>
      <c r="M117" s="440"/>
    </row>
    <row r="118" spans="1:15" ht="12" customHeight="1" x14ac:dyDescent="0.2">
      <c r="A118" s="323" t="str">
        <f>IF(KPA!$O$21="leer","Ausblenden",IF(K$116&gt;0,IF(KPA!$O$21="leer","Ausblenden","Einblenden"),"Ausblenden"))</f>
        <v>Ausblenden</v>
      </c>
      <c r="C118" s="437"/>
      <c r="D118" s="1036" t="s">
        <v>62</v>
      </c>
      <c r="E118" s="1037"/>
      <c r="F118" s="1037"/>
      <c r="G118" s="1037"/>
      <c r="H118" s="1037"/>
      <c r="I118" s="1037"/>
      <c r="J118" s="1037"/>
      <c r="K118" s="1037"/>
      <c r="L118" s="1038"/>
      <c r="M118" s="440"/>
    </row>
    <row r="119" spans="1:15" ht="12" customHeight="1" x14ac:dyDescent="0.2">
      <c r="A119" s="323" t="str">
        <f>IF(KPA!$O$21="leer","Ausblenden",IF(K$116&gt;0,IF(KPA!$O$21="leer","Ausblenden","Einblenden"),"Ausblenden"))</f>
        <v>Ausblenden</v>
      </c>
      <c r="C119" s="437"/>
      <c r="D119" s="205"/>
      <c r="E119" s="212"/>
      <c r="F119" s="1039" t="s">
        <v>101</v>
      </c>
      <c r="G119" s="1040"/>
      <c r="H119" s="206"/>
      <c r="I119" s="352"/>
      <c r="J119" s="1041" t="s">
        <v>99</v>
      </c>
      <c r="K119" s="1042"/>
      <c r="L119" s="207"/>
      <c r="M119" s="440"/>
    </row>
    <row r="120" spans="1:15" ht="12" customHeight="1" x14ac:dyDescent="0.2">
      <c r="A120" s="323" t="str">
        <f>IF(KPA!$O$21="leer","Ausblenden",IF(K$116&gt;0,IF(KPA!$O$21="leer","Ausblenden","Einblenden"),"Ausblenden"))</f>
        <v>Ausblenden</v>
      </c>
      <c r="C120" s="437"/>
      <c r="D120" s="560" t="s">
        <v>63</v>
      </c>
      <c r="E120" s="352"/>
      <c r="F120" s="431">
        <f>ROUND(K59,0)</f>
        <v>0</v>
      </c>
      <c r="G120" s="432" t="e">
        <f>"(≈ "&amp;ROUND(100-K116,2)&amp;" %)"</f>
        <v>#N/A</v>
      </c>
      <c r="H120" s="354"/>
      <c r="I120" s="352"/>
      <c r="J120" s="353" t="e">
        <f>J122-J121</f>
        <v>#N/A</v>
      </c>
      <c r="K120" s="355" t="e">
        <f>G120</f>
        <v>#N/A</v>
      </c>
      <c r="L120" s="356"/>
      <c r="M120" s="440"/>
      <c r="N120" s="323"/>
      <c r="O120" s="323"/>
    </row>
    <row r="121" spans="1:15" ht="12" customHeight="1" x14ac:dyDescent="0.2">
      <c r="A121" s="323" t="str">
        <f>IF(KPA!$O$21="leer","Ausblenden",IF(K$116&gt;0,IF(KPA!$O$21="leer","Ausblenden","Einblenden"),"Ausblenden"))</f>
        <v>Ausblenden</v>
      </c>
      <c r="C121" s="437"/>
      <c r="D121" s="1027" t="s">
        <v>316</v>
      </c>
      <c r="E121" s="1035"/>
      <c r="F121" s="433" t="e">
        <f>ROUND(K114-F120,0)</f>
        <v>#N/A</v>
      </c>
      <c r="G121" s="434" t="e">
        <f>"(≈ "&amp;K116&amp;" %)"</f>
        <v>#N/A</v>
      </c>
      <c r="H121" s="354"/>
      <c r="I121" s="352"/>
      <c r="J121" s="357" t="e">
        <f>J122*K116/100</f>
        <v>#N/A</v>
      </c>
      <c r="K121" s="358" t="e">
        <f>G121</f>
        <v>#N/A</v>
      </c>
      <c r="L121" s="356"/>
      <c r="M121" s="440"/>
      <c r="N121" s="323"/>
      <c r="O121" s="323"/>
    </row>
    <row r="122" spans="1:15" ht="12" customHeight="1" thickBot="1" x14ac:dyDescent="0.25">
      <c r="A122" s="323" t="str">
        <f>IF(KPA!$O$21="leer","Ausblenden",IF(K$116&gt;0,IF(KPA!$O$21="leer","Ausblenden","Einblenden"),"Ausblenden"))</f>
        <v>Ausblenden</v>
      </c>
      <c r="C122" s="437"/>
      <c r="D122" s="560" t="s">
        <v>100</v>
      </c>
      <c r="E122" s="352"/>
      <c r="F122" s="435" t="e">
        <f>SUM(F120:F121)</f>
        <v>#N/A</v>
      </c>
      <c r="G122" s="436" t="str">
        <f>"  (100 %)"</f>
        <v xml:space="preserve">  (100 %)</v>
      </c>
      <c r="H122" s="360"/>
      <c r="I122" s="352"/>
      <c r="J122" s="359">
        <f>K9</f>
        <v>0</v>
      </c>
      <c r="K122" s="361" t="str">
        <f>G122</f>
        <v xml:space="preserve">  (100 %)</v>
      </c>
      <c r="L122" s="356"/>
      <c r="M122" s="440"/>
      <c r="N122" s="323"/>
      <c r="O122" s="323"/>
    </row>
    <row r="123" spans="1:15" ht="12" customHeight="1" thickTop="1" thickBot="1" x14ac:dyDescent="0.25">
      <c r="A123" s="323" t="str">
        <f>IF(KPA!$O$21="leer","Ausblenden",IF(K$116&gt;0,IF(KPA!$O$21="leer","Ausblenden","Einblenden"),"Ausblenden"))</f>
        <v>Ausblenden</v>
      </c>
      <c r="C123" s="437"/>
      <c r="D123" s="48"/>
      <c r="E123" s="49"/>
      <c r="F123" s="49"/>
      <c r="G123" s="317"/>
      <c r="H123" s="362"/>
      <c r="I123" s="362"/>
      <c r="J123" s="362"/>
      <c r="K123" s="362"/>
      <c r="L123" s="363"/>
      <c r="M123" s="440"/>
    </row>
    <row r="124" spans="1:15" ht="24" customHeight="1" x14ac:dyDescent="0.2">
      <c r="A124" s="323" t="str">
        <f>IF(KPA!$O$21="leer","Ausblenden","Einblenden")</f>
        <v>Ausblenden</v>
      </c>
      <c r="C124" s="462"/>
      <c r="D124" s="476"/>
      <c r="E124" s="476"/>
      <c r="F124" s="477"/>
      <c r="G124" s="478"/>
      <c r="H124" s="464"/>
      <c r="I124" s="464"/>
      <c r="J124" s="464"/>
      <c r="K124" s="464"/>
      <c r="L124" s="464"/>
      <c r="M124" s="479"/>
    </row>
    <row r="125" spans="1:15" s="325" customFormat="1" ht="9.75" customHeight="1" x14ac:dyDescent="0.2">
      <c r="A125" s="323" t="str">
        <f>IF(KPA!$O$21="leer","Ausblenden",IF(K$116&gt;0,IF(KPA!$O$21="leer","Ausblenden","Einblenden"),"Ausblenden"))</f>
        <v>Ausblenden</v>
      </c>
      <c r="D125" s="330"/>
      <c r="E125" s="330"/>
    </row>
    <row r="126" spans="1:15" s="711" customFormat="1" ht="15" x14ac:dyDescent="0.25">
      <c r="A126" s="711" t="str">
        <f>IF(KPA!$O$21="leer","Ausblenden",IF(K$116&gt;0,IF(KPA!$O$21="leer","Ausblenden","Einblenden"),"Ausblenden"))</f>
        <v>Ausblenden</v>
      </c>
    </row>
    <row r="127" spans="1:15" s="711" customFormat="1" ht="23.25" customHeight="1" x14ac:dyDescent="0.25">
      <c r="G127" s="712"/>
    </row>
    <row r="128" spans="1:15" s="711" customFormat="1" ht="12" customHeight="1" x14ac:dyDescent="0.25"/>
    <row r="129" spans="4:5" s="711" customFormat="1" ht="12" customHeight="1" x14ac:dyDescent="0.25"/>
    <row r="130" spans="4:5" s="550" customFormat="1" ht="12" hidden="1" customHeight="1" x14ac:dyDescent="0.15">
      <c r="D130" s="551" t="str">
        <f>'SW-NHK'!D7</f>
        <v xml:space="preserve">Ein- und Zweifamilienhäuser [EFH/ZFH]  (ohne weitere Angaben)  </v>
      </c>
      <c r="E130" s="551"/>
    </row>
    <row r="131" spans="4:5" s="550" customFormat="1" ht="12" hidden="1" customHeight="1" x14ac:dyDescent="0.15">
      <c r="D131" s="551" t="str">
        <f>'SW-NHK'!D8</f>
        <v>Mietwohngrundstücke (Mehrfamilienhäuser)</v>
      </c>
      <c r="E131" s="551"/>
    </row>
    <row r="132" spans="4:5" s="550" customFormat="1" ht="12" hidden="1" customHeight="1" x14ac:dyDescent="0.15">
      <c r="D132" s="551" t="str">
        <f>'SW-NHK'!D9</f>
        <v>Teileigentum: Mietwohngrundstücke (Mehrfamilienhäuser)</v>
      </c>
      <c r="E132" s="551"/>
    </row>
    <row r="133" spans="4:5" s="550" customFormat="1" ht="12" hidden="1" customHeight="1" x14ac:dyDescent="0.15">
      <c r="D133" s="551" t="str">
        <f>'SW-NHK'!D10</f>
        <v>Wohnungseigentum [WE]</v>
      </c>
      <c r="E133" s="551"/>
    </row>
    <row r="134" spans="4:5" s="550" customFormat="1" ht="12" hidden="1" customHeight="1" x14ac:dyDescent="0.15">
      <c r="D134" s="551" t="str">
        <f>'SW-NHK'!D11</f>
        <v>gemischt genutzte Grundstücke, Wohnhäuser mit Mischnutzung (gewerbl. Anteil &lt; 50%)</v>
      </c>
    </row>
    <row r="135" spans="4:5" s="550" customFormat="1" ht="12" hidden="1" customHeight="1" x14ac:dyDescent="0.15">
      <c r="D135" s="551" t="str">
        <f>'SW-NHK'!D12</f>
        <v xml:space="preserve">Teileigentum: gemischt genutzte Grundstücke (gewerbl. Anteil &lt; 50%) </v>
      </c>
    </row>
    <row r="136" spans="4:5" s="550" customFormat="1" ht="12" hidden="1" customHeight="1" x14ac:dyDescent="0.15">
      <c r="D136" s="551" t="str">
        <f>'SW-NHK'!D13</f>
        <v>gemischt genutzte Grundstücke, Wohnhäuser mit Mischnutzung (gewerbl. Anteil &gt; 50%)</v>
      </c>
    </row>
    <row r="137" spans="4:5" s="550" customFormat="1" ht="12" hidden="1" customHeight="1" x14ac:dyDescent="0.15">
      <c r="D137" s="551" t="str">
        <f>'SW-NHK'!D14</f>
        <v xml:space="preserve">Teileigentum: gemischt genutzte Grundstücke  (gewerbl. Anteil &gt; 50%) </v>
      </c>
    </row>
    <row r="138" spans="4:5" s="550" customFormat="1" ht="12" hidden="1" customHeight="1" x14ac:dyDescent="0.15">
      <c r="D138" s="551" t="str">
        <f>'SW-NHK'!D15</f>
        <v>Geschäftsgrundstücke, Geschäftshäuser</v>
      </c>
      <c r="E138" s="551"/>
    </row>
    <row r="139" spans="4:5" s="550" customFormat="1" ht="12" hidden="1" customHeight="1" x14ac:dyDescent="0.15">
      <c r="D139" s="551" t="str">
        <f>'SW-NHK'!D16</f>
        <v>Teileigentum: Geschäftsgrundstücke (Geschäfts.)</v>
      </c>
      <c r="E139" s="551"/>
    </row>
    <row r="140" spans="4:5" s="550" customFormat="1" ht="12" hidden="1" customHeight="1" x14ac:dyDescent="0.15">
      <c r="D140" s="551" t="str">
        <f>'SW-NHK'!D17</f>
        <v>Geschäftsgrundstücke, Bürogebäude</v>
      </c>
      <c r="E140" s="551"/>
    </row>
    <row r="141" spans="4:5" s="550" customFormat="1" ht="12" hidden="1" customHeight="1" x14ac:dyDescent="0.15">
      <c r="D141" s="551" t="str">
        <f>'SW-NHK'!D18</f>
        <v xml:space="preserve">Teileigentum: Geschäftsgrundstücke (Bürog.) </v>
      </c>
      <c r="E141" s="551"/>
    </row>
    <row r="142" spans="4:5" s="550" customFormat="1" ht="12" hidden="1" customHeight="1" x14ac:dyDescent="0.15">
      <c r="D142" s="551" t="str">
        <f>'SW-NHK'!D23</f>
        <v>[EFH] freistehend, KG, EG, DG voll ausgebaut</v>
      </c>
      <c r="E142" s="551"/>
    </row>
    <row r="143" spans="4:5" s="550" customFormat="1" ht="12" hidden="1" customHeight="1" x14ac:dyDescent="0.15">
      <c r="D143" s="551" t="str">
        <f>'SW-NHK'!D24</f>
        <v>[EFH] freistehend, KG, EG, DG nicht ausgebaut</v>
      </c>
      <c r="E143" s="551"/>
    </row>
    <row r="144" spans="4:5" s="550" customFormat="1" ht="12" hidden="1" customHeight="1" x14ac:dyDescent="0.15">
      <c r="D144" s="551" t="str">
        <f>'SW-NHK'!D25</f>
        <v>[EFH] freistehend, KG, EG, Flachdach oder flach geneigtes Dach</v>
      </c>
      <c r="E144" s="551"/>
    </row>
    <row r="145" spans="4:5" s="550" customFormat="1" ht="12" hidden="1" customHeight="1" x14ac:dyDescent="0.15">
      <c r="D145" s="551" t="str">
        <f>'SW-NHK'!D26</f>
        <v>[EFH] freistehend, KG, EG, OG, DG voll ausgebaut</v>
      </c>
      <c r="E145" s="551"/>
    </row>
    <row r="146" spans="4:5" s="550" customFormat="1" ht="12" hidden="1" customHeight="1" x14ac:dyDescent="0.15">
      <c r="D146" s="551" t="str">
        <f>'SW-NHK'!D27</f>
        <v>[EFH] freistehend, KG, EG, OG, DG nicht ausgebaut</v>
      </c>
      <c r="E146" s="551"/>
    </row>
    <row r="147" spans="4:5" s="550" customFormat="1" ht="12" hidden="1" customHeight="1" x14ac:dyDescent="0.15">
      <c r="D147" s="551" t="str">
        <f>'SW-NHK'!D28</f>
        <v>[EFH] freistehend, KG, EG, OG, Flachdach oder flach geneigtes Dach</v>
      </c>
      <c r="E147" s="551"/>
    </row>
    <row r="148" spans="4:5" s="550" customFormat="1" ht="12" hidden="1" customHeight="1" x14ac:dyDescent="0.15">
      <c r="D148" s="551" t="str">
        <f>'SW-NHK'!D29</f>
        <v>[EFH] freistehend, EG, nicht unterkellert, DG voll ausgebaut</v>
      </c>
      <c r="E148" s="551"/>
    </row>
    <row r="149" spans="4:5" s="550" customFormat="1" ht="12" hidden="1" customHeight="1" x14ac:dyDescent="0.15">
      <c r="D149" s="551" t="str">
        <f>'SW-NHK'!D30</f>
        <v>[EFH] freistehend, EG, nicht unterkellert, DG nicht ausgebaut</v>
      </c>
      <c r="E149" s="551"/>
    </row>
    <row r="150" spans="4:5" s="550" customFormat="1" ht="12" hidden="1" customHeight="1" x14ac:dyDescent="0.15">
      <c r="D150" s="551" t="str">
        <f>'SW-NHK'!D31</f>
        <v>[EFH] freistehend, EG, nicht unterkellert, Flachdach oder flach geneigtes Dach</v>
      </c>
      <c r="E150" s="551"/>
    </row>
    <row r="151" spans="4:5" s="550" customFormat="1" ht="12" hidden="1" customHeight="1" x14ac:dyDescent="0.15">
      <c r="D151" s="551" t="str">
        <f>'SW-NHK'!D32</f>
        <v>[EFH] freistehend, EG, OG, nicht unterkellert, DG voll ausgebaut</v>
      </c>
      <c r="E151" s="551"/>
    </row>
    <row r="152" spans="4:5" s="550" customFormat="1" ht="12" hidden="1" customHeight="1" x14ac:dyDescent="0.15">
      <c r="D152" s="551" t="str">
        <f>'SW-NHK'!D33</f>
        <v>[EFH] freistehend, EG, OG, nicht unterkellert, DG nicht ausgebaut</v>
      </c>
      <c r="E152" s="551"/>
    </row>
    <row r="153" spans="4:5" s="550" customFormat="1" ht="12" hidden="1" customHeight="1" x14ac:dyDescent="0.15">
      <c r="D153" s="551" t="str">
        <f>'SW-NHK'!D34</f>
        <v>[EFH] freistehend, EG, OG, nicht unterkellert, Flachdach oder flach geneigtes Dach</v>
      </c>
      <c r="E153" s="551"/>
    </row>
    <row r="154" spans="4:5" s="550" customFormat="1" ht="12" hidden="1" customHeight="1" x14ac:dyDescent="0.15">
      <c r="D154" s="551" t="str">
        <f>'SW-NHK'!D35</f>
        <v>[ZFH] freistehend, KG, EG, DG voll ausgebaut</v>
      </c>
      <c r="E154" s="551"/>
    </row>
    <row r="155" spans="4:5" s="550" customFormat="1" ht="12" hidden="1" customHeight="1" x14ac:dyDescent="0.15">
      <c r="D155" s="551" t="str">
        <f>'SW-NHK'!D36</f>
        <v>[ZFH] freistehend, KG, EG, DG nicht ausgebaut</v>
      </c>
      <c r="E155" s="551"/>
    </row>
    <row r="156" spans="4:5" s="550" customFormat="1" ht="12" hidden="1" customHeight="1" x14ac:dyDescent="0.15">
      <c r="D156" s="551" t="str">
        <f>'SW-NHK'!D37</f>
        <v>[ZFH] freistehend, KG, EG, Flachdach oder flach geneigtes Dach</v>
      </c>
      <c r="E156" s="551"/>
    </row>
    <row r="157" spans="4:5" s="550" customFormat="1" ht="12" hidden="1" customHeight="1" x14ac:dyDescent="0.15">
      <c r="D157" s="551" t="str">
        <f>'SW-NHK'!D38</f>
        <v>[ZFH] freistehend, KG, EG, OG, DG voll ausgebaut</v>
      </c>
      <c r="E157" s="551"/>
    </row>
    <row r="158" spans="4:5" s="550" customFormat="1" ht="12" hidden="1" customHeight="1" x14ac:dyDescent="0.15">
      <c r="D158" s="551" t="str">
        <f>'SW-NHK'!D39</f>
        <v>[ZFH] freistehend, KG, EG, OG, DG nicht ausgebaut</v>
      </c>
      <c r="E158" s="551"/>
    </row>
    <row r="159" spans="4:5" s="550" customFormat="1" ht="12" hidden="1" customHeight="1" x14ac:dyDescent="0.15">
      <c r="D159" s="551" t="str">
        <f>'SW-NHK'!D40</f>
        <v>[ZFH] freistehend, KG, EG, OG, Flachdach oder flach geneigtes Dach</v>
      </c>
      <c r="E159" s="551"/>
    </row>
    <row r="160" spans="4:5" s="550" customFormat="1" ht="12" hidden="1" customHeight="1" x14ac:dyDescent="0.15">
      <c r="D160" s="551" t="str">
        <f>'SW-NHK'!D41</f>
        <v>[ZFH] freistehend, EG, nicht unterkellert, DG voll ausgebaut</v>
      </c>
      <c r="E160" s="551"/>
    </row>
    <row r="161" spans="4:5" s="550" customFormat="1" ht="12" hidden="1" customHeight="1" x14ac:dyDescent="0.15">
      <c r="D161" s="551" t="str">
        <f>'SW-NHK'!D42</f>
        <v>[ZFH] freistehend, EG, nicht unterkellert, DG nicht ausgebaut</v>
      </c>
      <c r="E161" s="551"/>
    </row>
    <row r="162" spans="4:5" s="550" customFormat="1" ht="12" hidden="1" customHeight="1" x14ac:dyDescent="0.15">
      <c r="D162" s="551" t="str">
        <f>'SW-NHK'!D43</f>
        <v>[ZFH] freistehend, EG, nicht unterkellert, Flachdach oder flach geneigtes Dach</v>
      </c>
      <c r="E162" s="551"/>
    </row>
    <row r="163" spans="4:5" s="550" customFormat="1" ht="12" hidden="1" customHeight="1" x14ac:dyDescent="0.15">
      <c r="D163" s="551" t="str">
        <f>'SW-NHK'!D44</f>
        <v>[ZFH] freistehend, EG, OG, nicht unterkellert, DG voll ausgebaut</v>
      </c>
      <c r="E163" s="551"/>
    </row>
    <row r="164" spans="4:5" s="550" customFormat="1" ht="12" hidden="1" customHeight="1" x14ac:dyDescent="0.15">
      <c r="D164" s="551" t="str">
        <f>'SW-NHK'!D45</f>
        <v>[ZFH] freistehend, EG, OG, nicht unterkellert, DG nicht ausgebaut</v>
      </c>
      <c r="E164" s="551"/>
    </row>
    <row r="165" spans="4:5" s="550" customFormat="1" ht="12" hidden="1" customHeight="1" x14ac:dyDescent="0.15">
      <c r="D165" s="551" t="str">
        <f>'SW-NHK'!D46</f>
        <v>[ZFH] freistehend, EG, OG, nicht unterkellert, Flachdach oder flach geneigtes Dach</v>
      </c>
      <c r="E165" s="551"/>
    </row>
    <row r="166" spans="4:5" s="550" customFormat="1" ht="12" hidden="1" customHeight="1" x14ac:dyDescent="0.15">
      <c r="D166" s="551" t="str">
        <f>'SW-NHK'!D47</f>
        <v>[EFH/ZFH] Doppel- und Reihenendh., KG, EG, DG voll ausgebaut</v>
      </c>
      <c r="E166" s="551"/>
    </row>
    <row r="167" spans="4:5" s="550" customFormat="1" ht="12" hidden="1" customHeight="1" x14ac:dyDescent="0.15">
      <c r="D167" s="551" t="str">
        <f>'SW-NHK'!D48</f>
        <v>[EFH/ZFH]Doppel- und Reihenendh., KG, EG, DG nicht ausgebaut</v>
      </c>
      <c r="E167" s="551"/>
    </row>
    <row r="168" spans="4:5" s="550" customFormat="1" ht="12" hidden="1" customHeight="1" x14ac:dyDescent="0.15">
      <c r="D168" s="551" t="str">
        <f>'SW-NHK'!D49</f>
        <v>[EFH/ZFH] Doppel- und Reihenendh., KG, EG, Flachdach oder flach geneigtes Dach</v>
      </c>
      <c r="E168" s="551"/>
    </row>
    <row r="169" spans="4:5" s="550" customFormat="1" ht="12" hidden="1" customHeight="1" x14ac:dyDescent="0.15">
      <c r="D169" s="551" t="str">
        <f>'SW-NHK'!D50</f>
        <v>[EFH/ZFH] Doppel- und Reihenendh., KG, EG, OG, DG voll ausgebaut</v>
      </c>
      <c r="E169" s="551"/>
    </row>
    <row r="170" spans="4:5" s="550" customFormat="1" ht="12" hidden="1" customHeight="1" x14ac:dyDescent="0.15">
      <c r="D170" s="551" t="str">
        <f>'SW-NHK'!D51</f>
        <v>[EFH/ZFH] Doppel- und Reihenendh., KG, EG, OG, DG nicht ausgebaut</v>
      </c>
      <c r="E170" s="551"/>
    </row>
    <row r="171" spans="4:5" s="550" customFormat="1" ht="12" hidden="1" customHeight="1" x14ac:dyDescent="0.15">
      <c r="D171" s="551" t="str">
        <f>'SW-NHK'!D52</f>
        <v>[EFH/ZFH] Doppel- und Reihenendh., KG, EG, OG, Flachdach oder flach geneigtes Dach</v>
      </c>
      <c r="E171" s="551"/>
    </row>
    <row r="172" spans="4:5" s="550" customFormat="1" ht="12" hidden="1" customHeight="1" x14ac:dyDescent="0.15">
      <c r="D172" s="551" t="str">
        <f>'SW-NHK'!D53</f>
        <v>[EFH/ZFH] Doppel- und Reihenendh., EG, nicht unterkellert, DG voll ausgebaut</v>
      </c>
      <c r="E172" s="551"/>
    </row>
    <row r="173" spans="4:5" s="550" customFormat="1" ht="12" hidden="1" customHeight="1" x14ac:dyDescent="0.15">
      <c r="D173" s="551" t="str">
        <f>'SW-NHK'!D54</f>
        <v>[EFH/ZFH] Doppel- und Reihenendh., EG, nicht unterkellert, DG nicht ausgebaut</v>
      </c>
      <c r="E173" s="551"/>
    </row>
    <row r="174" spans="4:5" s="550" customFormat="1" ht="12" hidden="1" customHeight="1" x14ac:dyDescent="0.15">
      <c r="D174" s="551" t="str">
        <f>'SW-NHK'!D55</f>
        <v>[EFH/ZFH] Doppel- und Reihenendh., EG, nicht unterkellert, Flachdach oder flach geneigtes Dach</v>
      </c>
      <c r="E174" s="551"/>
    </row>
    <row r="175" spans="4:5" s="550" customFormat="1" ht="12" hidden="1" customHeight="1" x14ac:dyDescent="0.15">
      <c r="D175" s="551" t="str">
        <f>'SW-NHK'!D56</f>
        <v>[EFH/ZFH] Doppel- und Reihenendh., EG, OG, nicht unterkellert, DG voll ausgebaut</v>
      </c>
      <c r="E175" s="551"/>
    </row>
    <row r="176" spans="4:5" s="550" customFormat="1" ht="12" hidden="1" customHeight="1" x14ac:dyDescent="0.15">
      <c r="D176" s="551" t="str">
        <f>'SW-NHK'!D57</f>
        <v>[EFH/ZFH] Doppel- und Reihenendh., EG, OG, nicht unterkellert, DG nicht ausgebaut</v>
      </c>
      <c r="E176" s="551"/>
    </row>
    <row r="177" spans="4:5" s="550" customFormat="1" ht="12" hidden="1" customHeight="1" x14ac:dyDescent="0.15">
      <c r="D177" s="551" t="str">
        <f>'SW-NHK'!D58</f>
        <v>[EFH/ZFH] Doppel- und Reihenendh., EG, OG, nicht unterkellert, Flachdach oder flach geneigtes Dach</v>
      </c>
      <c r="E177" s="551"/>
    </row>
    <row r="178" spans="4:5" s="550" customFormat="1" ht="12" hidden="1" customHeight="1" x14ac:dyDescent="0.15">
      <c r="D178" s="551" t="str">
        <f>'SW-NHK'!D59</f>
        <v>[EFH/ZFH] Reihenmittelh., KG, EG, DG voll ausgebaut</v>
      </c>
      <c r="E178" s="551"/>
    </row>
    <row r="179" spans="4:5" s="550" customFormat="1" ht="12" hidden="1" customHeight="1" x14ac:dyDescent="0.15">
      <c r="D179" s="551" t="str">
        <f>'SW-NHK'!D60</f>
        <v>[EFH/ZFH] Reihenmittelh., KG, EG, DG nicht ausgebaut</v>
      </c>
      <c r="E179" s="551"/>
    </row>
    <row r="180" spans="4:5" s="550" customFormat="1" ht="12" hidden="1" customHeight="1" x14ac:dyDescent="0.15">
      <c r="D180" s="551" t="str">
        <f>'SW-NHK'!D61</f>
        <v>[EFH/ZFH] Reihenmittelh.,  KG, EG, Flachdach oder flach geneigtes Dach</v>
      </c>
      <c r="E180" s="551"/>
    </row>
    <row r="181" spans="4:5" s="550" customFormat="1" ht="12" hidden="1" customHeight="1" x14ac:dyDescent="0.15">
      <c r="D181" s="551" t="str">
        <f>'SW-NHK'!D62</f>
        <v>[EFH/ZFH] Reihenmittelh., KG, EG, OG, DG voll ausgebaut</v>
      </c>
      <c r="E181" s="551"/>
    </row>
    <row r="182" spans="4:5" s="550" customFormat="1" ht="12" hidden="1" customHeight="1" x14ac:dyDescent="0.15">
      <c r="D182" s="551" t="str">
        <f>'SW-NHK'!D63</f>
        <v>[EFH/ZFH] Reihenmittelh.,  KG, EG, OG, DG nicht ausgebaut</v>
      </c>
      <c r="E182" s="551"/>
    </row>
    <row r="183" spans="4:5" s="550" customFormat="1" ht="12" hidden="1" customHeight="1" x14ac:dyDescent="0.15">
      <c r="D183" s="551" t="str">
        <f>'SW-NHK'!D64</f>
        <v>[EFH/ZFH] Reihenmittelh., KG, EG, OG, Flachdach oder flach geneigtes Dach</v>
      </c>
      <c r="E183" s="551"/>
    </row>
    <row r="184" spans="4:5" s="550" customFormat="1" ht="12" hidden="1" customHeight="1" x14ac:dyDescent="0.15">
      <c r="D184" s="551" t="str">
        <f>'SW-NHK'!D65</f>
        <v>[EFH/ZFH] Reihenmittelh., EG, nicht unterkellert, DG voll ausgebaut</v>
      </c>
      <c r="E184" s="551"/>
    </row>
    <row r="185" spans="4:5" s="550" customFormat="1" ht="12" hidden="1" customHeight="1" x14ac:dyDescent="0.15">
      <c r="D185" s="551" t="str">
        <f>'SW-NHK'!D66</f>
        <v>[EFH/ZFH] Reihenmittelh., EG, nicht unterkellert, DG nicht ausgebaut</v>
      </c>
      <c r="E185" s="551"/>
    </row>
    <row r="186" spans="4:5" s="550" customFormat="1" ht="12" hidden="1" customHeight="1" x14ac:dyDescent="0.15">
      <c r="D186" s="551" t="str">
        <f>'SW-NHK'!D67</f>
        <v>[EFH/ZFH] Reihenmittelh., EG, nicht unterkellert, Flachdach oder flach geneigtes Dach</v>
      </c>
      <c r="E186" s="551"/>
    </row>
    <row r="187" spans="4:5" s="550" customFormat="1" ht="12" hidden="1" customHeight="1" x14ac:dyDescent="0.15">
      <c r="D187" s="551" t="str">
        <f>'SW-NHK'!D68</f>
        <v>[EFH/ZFH] Reihenmittelh., EG, OG, nicht unterkellert, DG voll ausgebaut</v>
      </c>
      <c r="E187" s="551"/>
    </row>
    <row r="188" spans="4:5" s="550" customFormat="1" ht="12" hidden="1" customHeight="1" x14ac:dyDescent="0.15">
      <c r="D188" s="551" t="str">
        <f>'SW-NHK'!D69</f>
        <v>[EFH/ZFH] Reihenmittelh.,  EG, OG, nicht unterkellert, DG nicht ausgebaut</v>
      </c>
      <c r="E188" s="551"/>
    </row>
    <row r="189" spans="4:5" s="550" customFormat="1" ht="12" hidden="1" customHeight="1" x14ac:dyDescent="0.15">
      <c r="D189" s="551" t="str">
        <f>'SW-NHK'!D70</f>
        <v>[EFH/ZFH] Reihenmittelh., EG, OG, nicht unterkellert, Flachdach oder flach geneigtes Dach</v>
      </c>
      <c r="E189" s="551"/>
    </row>
    <row r="190" spans="4:5" s="713" customFormat="1" ht="12" customHeight="1" x14ac:dyDescent="0.25">
      <c r="D190" s="714"/>
      <c r="E190" s="714"/>
    </row>
    <row r="191" spans="4:5" s="713" customFormat="1" ht="12" customHeight="1" x14ac:dyDescent="0.25">
      <c r="D191" s="714"/>
      <c r="E191" s="714"/>
    </row>
    <row r="192" spans="4:5" s="638" customFormat="1" ht="12" customHeight="1" x14ac:dyDescent="0.2">
      <c r="D192" s="639"/>
      <c r="E192" s="639"/>
    </row>
    <row r="193" spans="4:5" s="638" customFormat="1" ht="12" customHeight="1" x14ac:dyDescent="0.2">
      <c r="D193" s="639"/>
      <c r="E193" s="639"/>
    </row>
    <row r="194" spans="4:5" s="638" customFormat="1" ht="12" customHeight="1" x14ac:dyDescent="0.2">
      <c r="D194" s="639"/>
      <c r="E194" s="639"/>
    </row>
    <row r="195" spans="4:5" s="638" customFormat="1" ht="12" customHeight="1" x14ac:dyDescent="0.2">
      <c r="D195" s="639"/>
      <c r="E195" s="639"/>
    </row>
    <row r="196" spans="4:5" s="638" customFormat="1" ht="12" customHeight="1" x14ac:dyDescent="0.2">
      <c r="D196" s="639"/>
      <c r="E196" s="639"/>
    </row>
    <row r="197" spans="4:5" s="638" customFormat="1" ht="12" customHeight="1" x14ac:dyDescent="0.2">
      <c r="D197" s="639"/>
      <c r="E197" s="639"/>
    </row>
    <row r="198" spans="4:5" s="638" customFormat="1" ht="12" customHeight="1" x14ac:dyDescent="0.2">
      <c r="D198" s="639"/>
      <c r="E198" s="639"/>
    </row>
    <row r="199" spans="4:5" s="638" customFormat="1" ht="12" customHeight="1" x14ac:dyDescent="0.2">
      <c r="D199" s="639"/>
      <c r="E199" s="639"/>
    </row>
    <row r="200" spans="4:5" s="638" customFormat="1" ht="12" customHeight="1" x14ac:dyDescent="0.2">
      <c r="D200" s="639"/>
      <c r="E200" s="639"/>
    </row>
    <row r="201" spans="4:5" s="638" customFormat="1" ht="12" customHeight="1" x14ac:dyDescent="0.2">
      <c r="D201" s="639"/>
      <c r="E201" s="639"/>
    </row>
    <row r="202" spans="4:5" s="638" customFormat="1" ht="12" customHeight="1" x14ac:dyDescent="0.2">
      <c r="D202" s="639"/>
      <c r="E202" s="639"/>
    </row>
    <row r="203" spans="4:5" s="638" customFormat="1" ht="12" customHeight="1" x14ac:dyDescent="0.2">
      <c r="D203" s="639"/>
      <c r="E203" s="639"/>
    </row>
    <row r="204" spans="4:5" s="638" customFormat="1" ht="12" customHeight="1" x14ac:dyDescent="0.2">
      <c r="D204" s="639"/>
      <c r="E204" s="639"/>
    </row>
    <row r="205" spans="4:5" s="638" customFormat="1" ht="12" customHeight="1" x14ac:dyDescent="0.2">
      <c r="D205" s="639"/>
      <c r="E205" s="639"/>
    </row>
    <row r="206" spans="4:5" s="638" customFormat="1" ht="12" customHeight="1" x14ac:dyDescent="0.2">
      <c r="D206" s="639"/>
      <c r="E206" s="639"/>
    </row>
    <row r="207" spans="4:5" s="638" customFormat="1" ht="12" customHeight="1" x14ac:dyDescent="0.2">
      <c r="D207" s="639"/>
      <c r="E207" s="639"/>
    </row>
    <row r="208" spans="4:5" s="638" customFormat="1" ht="12" customHeight="1" x14ac:dyDescent="0.2">
      <c r="D208" s="639"/>
      <c r="E208" s="639"/>
    </row>
    <row r="209" spans="4:5" s="637" customFormat="1" ht="12" customHeight="1" x14ac:dyDescent="0.2">
      <c r="D209" s="640"/>
      <c r="E209" s="640"/>
    </row>
    <row r="210" spans="4:5" s="637" customFormat="1" ht="12" customHeight="1" x14ac:dyDescent="0.2">
      <c r="D210" s="640"/>
      <c r="E210" s="640"/>
    </row>
    <row r="211" spans="4:5" s="637" customFormat="1" ht="12" customHeight="1" x14ac:dyDescent="0.2">
      <c r="D211" s="640"/>
      <c r="E211" s="640"/>
    </row>
    <row r="212" spans="4:5" s="637" customFormat="1" ht="12" customHeight="1" x14ac:dyDescent="0.2">
      <c r="D212" s="640"/>
      <c r="E212" s="640"/>
    </row>
    <row r="213" spans="4:5" s="637" customFormat="1" ht="12" customHeight="1" x14ac:dyDescent="0.2">
      <c r="D213" s="640"/>
      <c r="E213" s="640"/>
    </row>
    <row r="214" spans="4:5" s="637" customFormat="1" ht="12" customHeight="1" x14ac:dyDescent="0.2">
      <c r="D214" s="640"/>
      <c r="E214" s="640"/>
    </row>
    <row r="215" spans="4:5" s="637" customFormat="1" ht="12" customHeight="1" x14ac:dyDescent="0.2">
      <c r="D215" s="640"/>
      <c r="E215" s="640"/>
    </row>
    <row r="216" spans="4:5" s="637" customFormat="1" ht="12" customHeight="1" x14ac:dyDescent="0.2">
      <c r="D216" s="640"/>
      <c r="E216" s="640"/>
    </row>
    <row r="217" spans="4:5" s="637" customFormat="1" ht="12" customHeight="1" x14ac:dyDescent="0.2">
      <c r="D217" s="640"/>
      <c r="E217" s="640"/>
    </row>
    <row r="218" spans="4:5" s="637" customFormat="1" ht="12" customHeight="1" x14ac:dyDescent="0.2">
      <c r="D218" s="640"/>
      <c r="E218" s="640"/>
    </row>
    <row r="219" spans="4:5" s="637" customFormat="1" ht="12" customHeight="1" x14ac:dyDescent="0.2">
      <c r="D219" s="640"/>
      <c r="E219" s="640"/>
    </row>
    <row r="220" spans="4:5" s="637" customFormat="1" ht="12" customHeight="1" x14ac:dyDescent="0.2">
      <c r="D220" s="640"/>
      <c r="E220" s="640"/>
    </row>
    <row r="221" spans="4:5" s="637" customFormat="1" ht="12" customHeight="1" x14ac:dyDescent="0.2">
      <c r="D221" s="640"/>
      <c r="E221" s="640"/>
    </row>
    <row r="222" spans="4:5" s="637" customFormat="1" ht="12" customHeight="1" x14ac:dyDescent="0.2">
      <c r="D222" s="640"/>
      <c r="E222" s="640"/>
    </row>
    <row r="223" spans="4:5" s="637" customFormat="1" ht="12" customHeight="1" x14ac:dyDescent="0.2">
      <c r="D223" s="640"/>
      <c r="E223" s="640"/>
    </row>
    <row r="224" spans="4:5" s="637" customFormat="1" ht="12" customHeight="1" x14ac:dyDescent="0.2">
      <c r="D224" s="640"/>
      <c r="E224" s="640"/>
    </row>
    <row r="225" spans="4:5" s="637" customFormat="1" ht="12" customHeight="1" x14ac:dyDescent="0.2">
      <c r="D225" s="640"/>
      <c r="E225" s="640"/>
    </row>
    <row r="226" spans="4:5" s="637" customFormat="1" ht="12" customHeight="1" x14ac:dyDescent="0.2">
      <c r="D226" s="640"/>
      <c r="E226" s="640"/>
    </row>
    <row r="227" spans="4:5" s="637" customFormat="1" ht="12" customHeight="1" x14ac:dyDescent="0.2">
      <c r="D227" s="640"/>
      <c r="E227" s="640"/>
    </row>
    <row r="228" spans="4:5" s="637" customFormat="1" ht="12" customHeight="1" x14ac:dyDescent="0.2">
      <c r="D228" s="640"/>
      <c r="E228" s="640"/>
    </row>
    <row r="229" spans="4:5" s="637" customFormat="1" ht="12" customHeight="1" x14ac:dyDescent="0.2">
      <c r="D229" s="640"/>
      <c r="E229" s="640"/>
    </row>
    <row r="230" spans="4:5" s="375" customFormat="1" ht="15" x14ac:dyDescent="0.25">
      <c r="D230" s="376"/>
      <c r="E230" s="376"/>
    </row>
    <row r="231" spans="4:5" s="375" customFormat="1" ht="15" x14ac:dyDescent="0.25">
      <c r="D231" s="376"/>
      <c r="E231" s="376"/>
    </row>
    <row r="232" spans="4:5" s="375" customFormat="1" ht="15" x14ac:dyDescent="0.25">
      <c r="D232" s="376"/>
      <c r="E232" s="376"/>
    </row>
    <row r="233" spans="4:5" s="375" customFormat="1" ht="15" x14ac:dyDescent="0.25">
      <c r="D233" s="376"/>
      <c r="E233" s="376"/>
    </row>
    <row r="234" spans="4:5" s="375" customFormat="1" ht="15" x14ac:dyDescent="0.25">
      <c r="D234" s="376"/>
      <c r="E234" s="376"/>
    </row>
    <row r="235" spans="4:5" s="375" customFormat="1" ht="15" x14ac:dyDescent="0.25">
      <c r="D235" s="376"/>
      <c r="E235" s="376"/>
    </row>
    <row r="236" spans="4:5" s="375" customFormat="1" ht="15" x14ac:dyDescent="0.25">
      <c r="D236" s="376"/>
      <c r="E236" s="376"/>
    </row>
    <row r="237" spans="4:5" s="375" customFormat="1" ht="15" x14ac:dyDescent="0.25">
      <c r="D237" s="376"/>
      <c r="E237" s="376"/>
    </row>
    <row r="238" spans="4:5" s="375" customFormat="1" ht="15" x14ac:dyDescent="0.25">
      <c r="D238" s="376"/>
      <c r="E238" s="376"/>
    </row>
    <row r="239" spans="4:5" s="375" customFormat="1" ht="15" x14ac:dyDescent="0.25">
      <c r="D239" s="376"/>
      <c r="E239" s="376"/>
    </row>
    <row r="240" spans="4:5" s="375" customFormat="1" ht="15" x14ac:dyDescent="0.25">
      <c r="D240" s="376"/>
      <c r="E240" s="376"/>
    </row>
    <row r="241" spans="4:5" s="375" customFormat="1" ht="15" x14ac:dyDescent="0.25">
      <c r="D241" s="376"/>
      <c r="E241" s="376"/>
    </row>
    <row r="242" spans="4:5" s="375" customFormat="1" ht="15" x14ac:dyDescent="0.25">
      <c r="D242" s="376"/>
      <c r="E242" s="376"/>
    </row>
    <row r="243" spans="4:5" s="375" customFormat="1" ht="15" x14ac:dyDescent="0.25">
      <c r="D243" s="376"/>
      <c r="E243" s="376"/>
    </row>
    <row r="244" spans="4:5" s="375" customFormat="1" ht="15" x14ac:dyDescent="0.25">
      <c r="D244" s="376"/>
      <c r="E244" s="376"/>
    </row>
    <row r="245" spans="4:5" s="375" customFormat="1" ht="15" x14ac:dyDescent="0.25">
      <c r="D245" s="376"/>
      <c r="E245" s="376"/>
    </row>
    <row r="246" spans="4:5" s="375" customFormat="1" ht="15" x14ac:dyDescent="0.25">
      <c r="D246" s="376"/>
      <c r="E246" s="376"/>
    </row>
    <row r="247" spans="4:5" s="375" customFormat="1" ht="15" x14ac:dyDescent="0.25">
      <c r="D247" s="376"/>
      <c r="E247" s="376"/>
    </row>
    <row r="248" spans="4:5" s="375" customFormat="1" ht="15" x14ac:dyDescent="0.25">
      <c r="D248" s="376"/>
      <c r="E248" s="376"/>
    </row>
    <row r="249" spans="4:5" s="375" customFormat="1" ht="15" x14ac:dyDescent="0.25">
      <c r="D249" s="376"/>
      <c r="E249" s="376"/>
    </row>
    <row r="250" spans="4:5" s="375" customFormat="1" ht="15" x14ac:dyDescent="0.25">
      <c r="D250" s="376"/>
      <c r="E250" s="376"/>
    </row>
    <row r="251" spans="4:5" s="375" customFormat="1" ht="15" x14ac:dyDescent="0.25">
      <c r="D251" s="376"/>
      <c r="E251" s="376"/>
    </row>
    <row r="252" spans="4:5" s="375" customFormat="1" ht="15" x14ac:dyDescent="0.25">
      <c r="D252" s="376"/>
      <c r="E252" s="376"/>
    </row>
    <row r="253" spans="4:5" s="375" customFormat="1" ht="15" x14ac:dyDescent="0.25">
      <c r="D253" s="376"/>
      <c r="E253" s="376"/>
    </row>
    <row r="254" spans="4:5" s="375" customFormat="1" ht="15" x14ac:dyDescent="0.25">
      <c r="D254" s="376"/>
      <c r="E254" s="376"/>
    </row>
    <row r="255" spans="4:5" s="375" customFormat="1" ht="15" x14ac:dyDescent="0.25">
      <c r="D255" s="376"/>
      <c r="E255" s="376"/>
    </row>
    <row r="256" spans="4:5" s="375" customFormat="1" ht="15" x14ac:dyDescent="0.25">
      <c r="D256" s="376"/>
      <c r="E256" s="376"/>
    </row>
    <row r="257" spans="4:5" s="375" customFormat="1" ht="15" x14ac:dyDescent="0.25">
      <c r="D257" s="376"/>
      <c r="E257" s="376"/>
    </row>
    <row r="258" spans="4:5" s="375" customFormat="1" ht="15" x14ac:dyDescent="0.25">
      <c r="D258" s="376"/>
      <c r="E258" s="376"/>
    </row>
    <row r="259" spans="4:5" s="375" customFormat="1" ht="15" x14ac:dyDescent="0.25">
      <c r="D259" s="376"/>
      <c r="E259" s="376"/>
    </row>
    <row r="260" spans="4:5" s="375" customFormat="1" ht="15" x14ac:dyDescent="0.25">
      <c r="D260" s="376"/>
      <c r="E260" s="376"/>
    </row>
    <row r="261" spans="4:5" s="375" customFormat="1" ht="15" x14ac:dyDescent="0.25">
      <c r="D261" s="376"/>
      <c r="E261" s="376"/>
    </row>
    <row r="262" spans="4:5" s="375" customFormat="1" ht="15" x14ac:dyDescent="0.25">
      <c r="D262" s="376"/>
      <c r="E262" s="376"/>
    </row>
    <row r="263" spans="4:5" s="375" customFormat="1" ht="15" x14ac:dyDescent="0.25">
      <c r="D263" s="376"/>
      <c r="E263" s="376"/>
    </row>
    <row r="264" spans="4:5" s="375" customFormat="1" ht="15" x14ac:dyDescent="0.25">
      <c r="D264" s="376"/>
      <c r="E264" s="376"/>
    </row>
    <row r="265" spans="4:5" s="375" customFormat="1" ht="15" x14ac:dyDescent="0.25">
      <c r="D265" s="376"/>
      <c r="E265" s="376"/>
    </row>
    <row r="266" spans="4:5" s="375" customFormat="1" ht="15" x14ac:dyDescent="0.25">
      <c r="D266" s="376"/>
      <c r="E266" s="376"/>
    </row>
    <row r="267" spans="4:5" s="375" customFormat="1" ht="15" x14ac:dyDescent="0.25">
      <c r="D267" s="376"/>
      <c r="E267" s="376"/>
    </row>
    <row r="268" spans="4:5" s="375" customFormat="1" ht="15" x14ac:dyDescent="0.25">
      <c r="D268" s="376"/>
      <c r="E268" s="376"/>
    </row>
    <row r="269" spans="4:5" s="375" customFormat="1" ht="15" x14ac:dyDescent="0.25">
      <c r="D269" s="376"/>
      <c r="E269" s="376"/>
    </row>
    <row r="270" spans="4:5" s="375" customFormat="1" ht="15" x14ac:dyDescent="0.25">
      <c r="D270" s="376"/>
      <c r="E270" s="376"/>
    </row>
    <row r="271" spans="4:5" s="375" customFormat="1" ht="15" x14ac:dyDescent="0.25">
      <c r="D271" s="376"/>
      <c r="E271" s="376"/>
    </row>
    <row r="272" spans="4:5" s="375" customFormat="1" ht="15" x14ac:dyDescent="0.25">
      <c r="D272" s="376"/>
      <c r="E272" s="376"/>
    </row>
    <row r="273" spans="4:5" s="375" customFormat="1" ht="15" x14ac:dyDescent="0.25">
      <c r="D273" s="376"/>
      <c r="E273" s="376"/>
    </row>
    <row r="274" spans="4:5" s="375" customFormat="1" ht="15" x14ac:dyDescent="0.25">
      <c r="D274" s="376"/>
      <c r="E274" s="376"/>
    </row>
    <row r="275" spans="4:5" s="375" customFormat="1" ht="15" x14ac:dyDescent="0.25">
      <c r="D275" s="376"/>
      <c r="E275" s="376"/>
    </row>
    <row r="276" spans="4:5" s="375" customFormat="1" ht="15" x14ac:dyDescent="0.25">
      <c r="D276" s="376"/>
      <c r="E276" s="376"/>
    </row>
    <row r="277" spans="4:5" s="375" customFormat="1" ht="15" x14ac:dyDescent="0.25">
      <c r="D277" s="376"/>
      <c r="E277" s="376"/>
    </row>
    <row r="278" spans="4:5" s="375" customFormat="1" ht="15" x14ac:dyDescent="0.25">
      <c r="D278" s="376"/>
      <c r="E278" s="376"/>
    </row>
    <row r="279" spans="4:5" s="375" customFormat="1" ht="15" x14ac:dyDescent="0.25">
      <c r="D279" s="376"/>
      <c r="E279" s="376"/>
    </row>
    <row r="280" spans="4:5" s="375" customFormat="1" ht="15" x14ac:dyDescent="0.25">
      <c r="D280" s="376"/>
      <c r="E280" s="376"/>
    </row>
    <row r="281" spans="4:5" s="375" customFormat="1" ht="15" x14ac:dyDescent="0.25">
      <c r="D281" s="376"/>
      <c r="E281" s="376"/>
    </row>
    <row r="282" spans="4:5" s="375" customFormat="1" ht="15" x14ac:dyDescent="0.25">
      <c r="D282" s="376"/>
      <c r="E282" s="376"/>
    </row>
    <row r="283" spans="4:5" s="375" customFormat="1" ht="15" x14ac:dyDescent="0.25">
      <c r="D283" s="376"/>
      <c r="E283" s="376"/>
    </row>
    <row r="284" spans="4:5" s="375" customFormat="1" ht="15" x14ac:dyDescent="0.25">
      <c r="D284" s="376"/>
      <c r="E284" s="376"/>
    </row>
    <row r="285" spans="4:5" s="375" customFormat="1" ht="15" x14ac:dyDescent="0.25">
      <c r="D285" s="376"/>
      <c r="E285" s="376"/>
    </row>
    <row r="286" spans="4:5" s="375" customFormat="1" ht="15" x14ac:dyDescent="0.25">
      <c r="D286" s="376"/>
      <c r="E286" s="376"/>
    </row>
    <row r="287" spans="4:5" s="375" customFormat="1" ht="15" x14ac:dyDescent="0.25">
      <c r="D287" s="376"/>
      <c r="E287" s="376"/>
    </row>
    <row r="288" spans="4:5" s="375" customFormat="1" ht="15" x14ac:dyDescent="0.25">
      <c r="D288" s="376"/>
      <c r="E288" s="376"/>
    </row>
    <row r="289" spans="4:5" s="375" customFormat="1" ht="15" x14ac:dyDescent="0.25">
      <c r="D289" s="376"/>
      <c r="E289" s="376"/>
    </row>
    <row r="290" spans="4:5" s="375" customFormat="1" ht="15" x14ac:dyDescent="0.25">
      <c r="D290" s="376"/>
      <c r="E290" s="376"/>
    </row>
    <row r="291" spans="4:5" s="375" customFormat="1" ht="15" x14ac:dyDescent="0.25">
      <c r="D291" s="376"/>
      <c r="E291" s="376"/>
    </row>
    <row r="292" spans="4:5" s="375" customFormat="1" ht="15" x14ac:dyDescent="0.25">
      <c r="D292" s="376"/>
      <c r="E292" s="376"/>
    </row>
    <row r="293" spans="4:5" s="375" customFormat="1" ht="15" x14ac:dyDescent="0.25">
      <c r="D293" s="376"/>
      <c r="E293" s="376"/>
    </row>
    <row r="294" spans="4:5" s="375" customFormat="1" ht="15" x14ac:dyDescent="0.25">
      <c r="D294" s="376"/>
      <c r="E294" s="376"/>
    </row>
    <row r="295" spans="4:5" s="375" customFormat="1" ht="15" x14ac:dyDescent="0.25">
      <c r="D295" s="376"/>
      <c r="E295" s="376"/>
    </row>
    <row r="296" spans="4:5" s="375" customFormat="1" ht="15" x14ac:dyDescent="0.25">
      <c r="D296" s="376"/>
      <c r="E296" s="376"/>
    </row>
    <row r="297" spans="4:5" s="375" customFormat="1" ht="15" x14ac:dyDescent="0.25">
      <c r="D297" s="376"/>
      <c r="E297" s="376"/>
    </row>
    <row r="298" spans="4:5" s="375" customFormat="1" ht="15" x14ac:dyDescent="0.25">
      <c r="D298" s="376"/>
      <c r="E298" s="376"/>
    </row>
    <row r="299" spans="4:5" s="375" customFormat="1" ht="15" x14ac:dyDescent="0.25">
      <c r="D299" s="376"/>
      <c r="E299" s="376"/>
    </row>
    <row r="300" spans="4:5" s="375" customFormat="1" ht="15" x14ac:dyDescent="0.25">
      <c r="D300" s="376"/>
      <c r="E300" s="376"/>
    </row>
    <row r="301" spans="4:5" s="375" customFormat="1" ht="15" x14ac:dyDescent="0.25">
      <c r="D301" s="376"/>
      <c r="E301" s="376"/>
    </row>
    <row r="302" spans="4:5" s="375" customFormat="1" ht="15" x14ac:dyDescent="0.25">
      <c r="D302" s="376"/>
      <c r="E302" s="376"/>
    </row>
    <row r="303" spans="4:5" s="375" customFormat="1" ht="15" x14ac:dyDescent="0.25">
      <c r="D303" s="376"/>
      <c r="E303" s="376"/>
    </row>
    <row r="304" spans="4:5" s="375" customFormat="1" ht="15" x14ac:dyDescent="0.25">
      <c r="D304" s="376"/>
      <c r="E304" s="376"/>
    </row>
    <row r="305" spans="4:5" s="375" customFormat="1" ht="15" x14ac:dyDescent="0.25">
      <c r="D305" s="376"/>
      <c r="E305" s="376"/>
    </row>
    <row r="306" spans="4:5" s="375" customFormat="1" ht="15" x14ac:dyDescent="0.25">
      <c r="D306" s="376"/>
      <c r="E306" s="376"/>
    </row>
    <row r="307" spans="4:5" s="375" customFormat="1" ht="15" x14ac:dyDescent="0.25">
      <c r="D307" s="376"/>
      <c r="E307" s="376"/>
    </row>
    <row r="308" spans="4:5" s="375" customFormat="1" ht="15" x14ac:dyDescent="0.25">
      <c r="D308" s="376"/>
      <c r="E308" s="376"/>
    </row>
    <row r="309" spans="4:5" s="375" customFormat="1" ht="15" x14ac:dyDescent="0.25">
      <c r="D309" s="376"/>
      <c r="E309" s="376"/>
    </row>
    <row r="310" spans="4:5" s="375" customFormat="1" ht="15" x14ac:dyDescent="0.25">
      <c r="D310" s="376"/>
      <c r="E310" s="376"/>
    </row>
    <row r="311" spans="4:5" s="375" customFormat="1" ht="15" x14ac:dyDescent="0.25">
      <c r="D311" s="376"/>
      <c r="E311" s="376"/>
    </row>
    <row r="312" spans="4:5" s="375" customFormat="1" ht="15" x14ac:dyDescent="0.25">
      <c r="D312" s="376"/>
      <c r="E312" s="376"/>
    </row>
    <row r="313" spans="4:5" s="375" customFormat="1" ht="15" x14ac:dyDescent="0.25">
      <c r="D313" s="376"/>
      <c r="E313" s="376"/>
    </row>
    <row r="314" spans="4:5" s="375" customFormat="1" ht="15" x14ac:dyDescent="0.25">
      <c r="D314" s="376"/>
      <c r="E314" s="376"/>
    </row>
    <row r="315" spans="4:5" s="375" customFormat="1" ht="15" x14ac:dyDescent="0.25">
      <c r="D315" s="376"/>
      <c r="E315" s="376"/>
    </row>
    <row r="316" spans="4:5" s="375" customFormat="1" ht="15" x14ac:dyDescent="0.25">
      <c r="D316" s="376"/>
      <c r="E316" s="376"/>
    </row>
    <row r="317" spans="4:5" s="375" customFormat="1" ht="15" x14ac:dyDescent="0.25">
      <c r="D317" s="376"/>
      <c r="E317" s="376"/>
    </row>
    <row r="318" spans="4:5" s="375" customFormat="1" ht="15" x14ac:dyDescent="0.25">
      <c r="D318" s="376"/>
      <c r="E318" s="376"/>
    </row>
    <row r="319" spans="4:5" s="375" customFormat="1" ht="15" x14ac:dyDescent="0.25">
      <c r="D319" s="376"/>
      <c r="E319" s="376"/>
    </row>
    <row r="320" spans="4:5" s="375" customFormat="1" ht="15" x14ac:dyDescent="0.25">
      <c r="D320" s="376"/>
      <c r="E320" s="376"/>
    </row>
    <row r="321" spans="4:5" s="375" customFormat="1" ht="15" x14ac:dyDescent="0.25">
      <c r="D321" s="376"/>
      <c r="E321" s="376"/>
    </row>
    <row r="322" spans="4:5" s="375" customFormat="1" ht="15" x14ac:dyDescent="0.25">
      <c r="D322" s="376"/>
      <c r="E322" s="376"/>
    </row>
    <row r="323" spans="4:5" s="375" customFormat="1" ht="15" x14ac:dyDescent="0.25">
      <c r="D323" s="376"/>
      <c r="E323" s="376"/>
    </row>
    <row r="324" spans="4:5" s="375" customFormat="1" ht="15" x14ac:dyDescent="0.25">
      <c r="D324" s="376"/>
      <c r="E324" s="376"/>
    </row>
    <row r="325" spans="4:5" s="375" customFormat="1" ht="15" x14ac:dyDescent="0.25">
      <c r="D325" s="376"/>
      <c r="E325" s="376"/>
    </row>
    <row r="326" spans="4:5" s="375" customFormat="1" ht="15" x14ac:dyDescent="0.25">
      <c r="D326" s="376"/>
      <c r="E326" s="376"/>
    </row>
    <row r="327" spans="4:5" s="375" customFormat="1" ht="15" x14ac:dyDescent="0.25">
      <c r="D327" s="376"/>
      <c r="E327" s="376"/>
    </row>
    <row r="328" spans="4:5" s="375" customFormat="1" ht="15" x14ac:dyDescent="0.25">
      <c r="D328" s="376"/>
      <c r="E328" s="376"/>
    </row>
    <row r="329" spans="4:5" s="375" customFormat="1" ht="15" x14ac:dyDescent="0.25">
      <c r="D329" s="376"/>
      <c r="E329" s="376"/>
    </row>
    <row r="330" spans="4:5" s="375" customFormat="1" ht="15" x14ac:dyDescent="0.25">
      <c r="D330" s="376"/>
      <c r="E330" s="376"/>
    </row>
    <row r="331" spans="4:5" s="375" customFormat="1" ht="15" x14ac:dyDescent="0.25">
      <c r="D331" s="376"/>
      <c r="E331" s="376"/>
    </row>
    <row r="332" spans="4:5" s="375" customFormat="1" ht="15" x14ac:dyDescent="0.25">
      <c r="D332" s="376"/>
      <c r="E332" s="376"/>
    </row>
    <row r="333" spans="4:5" s="375" customFormat="1" ht="15" x14ac:dyDescent="0.25">
      <c r="D333" s="376"/>
      <c r="E333" s="376"/>
    </row>
    <row r="334" spans="4:5" s="375" customFormat="1" ht="15" x14ac:dyDescent="0.25">
      <c r="D334" s="376"/>
      <c r="E334" s="376"/>
    </row>
    <row r="335" spans="4:5" s="375" customFormat="1" ht="15" x14ac:dyDescent="0.25">
      <c r="D335" s="376"/>
      <c r="E335" s="376"/>
    </row>
    <row r="336" spans="4:5" s="375" customFormat="1" ht="15" x14ac:dyDescent="0.25">
      <c r="D336" s="376"/>
      <c r="E336" s="376"/>
    </row>
    <row r="337" spans="4:5" s="375" customFormat="1" ht="15" x14ac:dyDescent="0.25">
      <c r="D337" s="376"/>
      <c r="E337" s="376"/>
    </row>
    <row r="338" spans="4:5" s="375" customFormat="1" ht="15" x14ac:dyDescent="0.25">
      <c r="D338" s="376"/>
      <c r="E338" s="376"/>
    </row>
    <row r="339" spans="4:5" s="375" customFormat="1" ht="15" x14ac:dyDescent="0.25">
      <c r="D339" s="376"/>
      <c r="E339" s="376"/>
    </row>
    <row r="340" spans="4:5" s="375" customFormat="1" ht="15" x14ac:dyDescent="0.25">
      <c r="D340" s="376"/>
      <c r="E340" s="376"/>
    </row>
    <row r="341" spans="4:5" s="375" customFormat="1" ht="15" x14ac:dyDescent="0.25">
      <c r="D341" s="376"/>
      <c r="E341" s="376"/>
    </row>
    <row r="342" spans="4:5" s="375" customFormat="1" ht="15" x14ac:dyDescent="0.25">
      <c r="D342" s="376"/>
      <c r="E342" s="376"/>
    </row>
    <row r="343" spans="4:5" s="375" customFormat="1" ht="15" x14ac:dyDescent="0.25">
      <c r="D343" s="376"/>
      <c r="E343" s="376"/>
    </row>
    <row r="344" spans="4:5" s="375" customFormat="1" ht="15" x14ac:dyDescent="0.25">
      <c r="D344" s="376"/>
      <c r="E344" s="376"/>
    </row>
    <row r="345" spans="4:5" s="375" customFormat="1" ht="15" x14ac:dyDescent="0.25">
      <c r="D345" s="376"/>
      <c r="E345" s="376"/>
    </row>
    <row r="346" spans="4:5" s="375" customFormat="1" ht="15" x14ac:dyDescent="0.25">
      <c r="D346" s="376"/>
      <c r="E346" s="376"/>
    </row>
    <row r="347" spans="4:5" s="375" customFormat="1" ht="15" x14ac:dyDescent="0.25">
      <c r="D347" s="376"/>
      <c r="E347" s="376"/>
    </row>
    <row r="348" spans="4:5" s="375" customFormat="1" ht="15" x14ac:dyDescent="0.25">
      <c r="D348" s="376"/>
      <c r="E348" s="376"/>
    </row>
    <row r="349" spans="4:5" s="375" customFormat="1" ht="15" x14ac:dyDescent="0.25">
      <c r="D349" s="376"/>
      <c r="E349" s="376"/>
    </row>
    <row r="350" spans="4:5" s="375" customFormat="1" ht="15" x14ac:dyDescent="0.25">
      <c r="D350" s="376"/>
      <c r="E350" s="376"/>
    </row>
    <row r="351" spans="4:5" s="375" customFormat="1" ht="15" x14ac:dyDescent="0.25">
      <c r="D351" s="376"/>
      <c r="E351" s="376"/>
    </row>
    <row r="352" spans="4:5" s="375" customFormat="1" ht="15" x14ac:dyDescent="0.25">
      <c r="D352" s="376"/>
      <c r="E352" s="376"/>
    </row>
    <row r="353" spans="4:5" s="375" customFormat="1" ht="15" x14ac:dyDescent="0.25">
      <c r="D353" s="376"/>
      <c r="E353" s="376"/>
    </row>
    <row r="354" spans="4:5" s="375" customFormat="1" ht="15" x14ac:dyDescent="0.25">
      <c r="D354" s="376"/>
      <c r="E354" s="376"/>
    </row>
    <row r="355" spans="4:5" s="375" customFormat="1" ht="15" x14ac:dyDescent="0.25">
      <c r="D355" s="376"/>
      <c r="E355" s="376"/>
    </row>
    <row r="356" spans="4:5" s="375" customFormat="1" ht="15" x14ac:dyDescent="0.25">
      <c r="D356" s="376"/>
      <c r="E356" s="376"/>
    </row>
    <row r="357" spans="4:5" s="375" customFormat="1" ht="15" x14ac:dyDescent="0.25">
      <c r="D357" s="376"/>
      <c r="E357" s="376"/>
    </row>
    <row r="358" spans="4:5" s="375" customFormat="1" ht="15" x14ac:dyDescent="0.25">
      <c r="D358" s="376"/>
      <c r="E358" s="376"/>
    </row>
    <row r="359" spans="4:5" s="375" customFormat="1" ht="15" x14ac:dyDescent="0.25">
      <c r="D359" s="376"/>
      <c r="E359" s="376"/>
    </row>
    <row r="360" spans="4:5" s="375" customFormat="1" ht="15" x14ac:dyDescent="0.25">
      <c r="D360" s="376"/>
      <c r="E360" s="376"/>
    </row>
    <row r="361" spans="4:5" s="375" customFormat="1" ht="15" x14ac:dyDescent="0.25">
      <c r="D361" s="376"/>
      <c r="E361" s="376"/>
    </row>
    <row r="362" spans="4:5" s="375" customFormat="1" ht="15" x14ac:dyDescent="0.25">
      <c r="D362" s="376"/>
      <c r="E362" s="376"/>
    </row>
    <row r="363" spans="4:5" s="375" customFormat="1" ht="15" x14ac:dyDescent="0.25">
      <c r="D363" s="376"/>
      <c r="E363" s="376"/>
    </row>
    <row r="364" spans="4:5" s="375" customFormat="1" ht="15" x14ac:dyDescent="0.25">
      <c r="D364" s="376"/>
      <c r="E364" s="376"/>
    </row>
    <row r="365" spans="4:5" s="375" customFormat="1" ht="15" x14ac:dyDescent="0.25">
      <c r="D365" s="376"/>
      <c r="E365" s="376"/>
    </row>
    <row r="366" spans="4:5" s="375" customFormat="1" ht="15" x14ac:dyDescent="0.25">
      <c r="D366" s="376"/>
      <c r="E366" s="376"/>
    </row>
    <row r="367" spans="4:5" s="375" customFormat="1" ht="15" x14ac:dyDescent="0.25">
      <c r="D367" s="376"/>
      <c r="E367" s="376"/>
    </row>
    <row r="368" spans="4:5" s="375" customFormat="1" ht="15" x14ac:dyDescent="0.25">
      <c r="D368" s="376"/>
      <c r="E368" s="376"/>
    </row>
    <row r="369" spans="4:5" s="375" customFormat="1" ht="15" x14ac:dyDescent="0.25">
      <c r="D369" s="376"/>
      <c r="E369" s="376"/>
    </row>
    <row r="370" spans="4:5" s="375" customFormat="1" ht="15" x14ac:dyDescent="0.25">
      <c r="D370" s="376"/>
      <c r="E370" s="376"/>
    </row>
    <row r="371" spans="4:5" s="375" customFormat="1" ht="15" x14ac:dyDescent="0.25">
      <c r="D371" s="376"/>
      <c r="E371" s="376"/>
    </row>
    <row r="372" spans="4:5" s="375" customFormat="1" ht="15" x14ac:dyDescent="0.25">
      <c r="D372" s="376"/>
      <c r="E372" s="376"/>
    </row>
    <row r="373" spans="4:5" s="375" customFormat="1" ht="15" x14ac:dyDescent="0.25">
      <c r="D373" s="376"/>
      <c r="E373" s="376"/>
    </row>
    <row r="374" spans="4:5" s="375" customFormat="1" ht="15" x14ac:dyDescent="0.25">
      <c r="D374" s="376"/>
      <c r="E374" s="376"/>
    </row>
    <row r="375" spans="4:5" s="375" customFormat="1" ht="15" x14ac:dyDescent="0.25">
      <c r="D375" s="376"/>
      <c r="E375" s="376"/>
    </row>
    <row r="376" spans="4:5" s="375" customFormat="1" ht="15" x14ac:dyDescent="0.25">
      <c r="D376" s="376"/>
      <c r="E376" s="376"/>
    </row>
    <row r="377" spans="4:5" s="375" customFormat="1" ht="15" x14ac:dyDescent="0.25">
      <c r="D377" s="376"/>
      <c r="E377" s="376"/>
    </row>
    <row r="378" spans="4:5" s="375" customFormat="1" ht="15" x14ac:dyDescent="0.25">
      <c r="D378" s="376"/>
      <c r="E378" s="376"/>
    </row>
    <row r="379" spans="4:5" s="375" customFormat="1" ht="15" x14ac:dyDescent="0.25">
      <c r="D379" s="376"/>
      <c r="E379" s="376"/>
    </row>
    <row r="380" spans="4:5" s="375" customFormat="1" ht="15" x14ac:dyDescent="0.25">
      <c r="D380" s="376"/>
      <c r="E380" s="376"/>
    </row>
    <row r="381" spans="4:5" s="375" customFormat="1" ht="15" x14ac:dyDescent="0.25">
      <c r="D381" s="376"/>
      <c r="E381" s="376"/>
    </row>
    <row r="382" spans="4:5" s="375" customFormat="1" ht="15" x14ac:dyDescent="0.25">
      <c r="D382" s="376"/>
      <c r="E382" s="376"/>
    </row>
    <row r="383" spans="4:5" s="375" customFormat="1" ht="15" x14ac:dyDescent="0.25">
      <c r="D383" s="376"/>
      <c r="E383" s="376"/>
    </row>
    <row r="384" spans="4:5" s="375" customFormat="1" ht="15" x14ac:dyDescent="0.25">
      <c r="D384" s="376"/>
      <c r="E384" s="376"/>
    </row>
    <row r="385" spans="4:5" s="375" customFormat="1" ht="15" x14ac:dyDescent="0.25">
      <c r="D385" s="376"/>
      <c r="E385" s="376"/>
    </row>
    <row r="386" spans="4:5" s="375" customFormat="1" ht="15" x14ac:dyDescent="0.25">
      <c r="D386" s="376"/>
      <c r="E386" s="376"/>
    </row>
    <row r="387" spans="4:5" s="375" customFormat="1" ht="15" x14ac:dyDescent="0.25">
      <c r="D387" s="376"/>
      <c r="E387" s="376"/>
    </row>
    <row r="388" spans="4:5" s="375" customFormat="1" ht="15" x14ac:dyDescent="0.25">
      <c r="D388" s="376"/>
      <c r="E388" s="376"/>
    </row>
    <row r="389" spans="4:5" s="375" customFormat="1" ht="15" x14ac:dyDescent="0.25">
      <c r="D389" s="376"/>
      <c r="E389" s="376"/>
    </row>
    <row r="390" spans="4:5" s="325" customFormat="1" x14ac:dyDescent="0.2">
      <c r="D390" s="364"/>
      <c r="E390" s="364"/>
    </row>
    <row r="391" spans="4:5" s="325" customFormat="1" x14ac:dyDescent="0.2">
      <c r="D391" s="364"/>
      <c r="E391" s="364"/>
    </row>
    <row r="392" spans="4:5" s="325" customFormat="1" x14ac:dyDescent="0.2">
      <c r="D392" s="364"/>
      <c r="E392" s="364"/>
    </row>
    <row r="393" spans="4:5" s="325" customFormat="1" x14ac:dyDescent="0.2">
      <c r="D393" s="364"/>
      <c r="E393" s="364"/>
    </row>
    <row r="394" spans="4:5" s="325" customFormat="1" x14ac:dyDescent="0.2">
      <c r="D394" s="364"/>
      <c r="E394" s="364"/>
    </row>
    <row r="395" spans="4:5" s="325" customFormat="1" x14ac:dyDescent="0.2">
      <c r="D395" s="364"/>
      <c r="E395" s="364"/>
    </row>
    <row r="396" spans="4:5" s="325" customFormat="1" x14ac:dyDescent="0.2">
      <c r="D396" s="364"/>
      <c r="E396" s="364"/>
    </row>
    <row r="397" spans="4:5" s="325" customFormat="1" x14ac:dyDescent="0.2">
      <c r="D397" s="364"/>
      <c r="E397" s="364"/>
    </row>
    <row r="398" spans="4:5" s="325" customFormat="1" x14ac:dyDescent="0.2">
      <c r="D398" s="364"/>
      <c r="E398" s="364"/>
    </row>
    <row r="399" spans="4:5" s="325" customFormat="1" x14ac:dyDescent="0.2">
      <c r="D399" s="364"/>
      <c r="E399" s="364"/>
    </row>
    <row r="400" spans="4:5" s="325" customFormat="1" x14ac:dyDescent="0.2">
      <c r="D400" s="364"/>
      <c r="E400" s="364"/>
    </row>
    <row r="401" spans="4:5" s="325" customFormat="1" x14ac:dyDescent="0.2">
      <c r="D401" s="364"/>
      <c r="E401" s="364"/>
    </row>
    <row r="402" spans="4:5" s="325" customFormat="1" x14ac:dyDescent="0.2">
      <c r="D402" s="364"/>
      <c r="E402" s="364"/>
    </row>
    <row r="403" spans="4:5" s="325" customFormat="1" x14ac:dyDescent="0.2">
      <c r="D403" s="364"/>
      <c r="E403" s="364"/>
    </row>
    <row r="404" spans="4:5" s="325" customFormat="1" x14ac:dyDescent="0.2">
      <c r="D404" s="364"/>
      <c r="E404" s="364"/>
    </row>
    <row r="405" spans="4:5" s="325" customFormat="1" x14ac:dyDescent="0.2">
      <c r="D405" s="364"/>
      <c r="E405" s="364"/>
    </row>
    <row r="406" spans="4:5" s="325" customFormat="1" x14ac:dyDescent="0.2">
      <c r="D406" s="364"/>
      <c r="E406" s="364"/>
    </row>
    <row r="407" spans="4:5" s="325" customFormat="1" x14ac:dyDescent="0.2">
      <c r="D407" s="364"/>
      <c r="E407" s="364"/>
    </row>
    <row r="408" spans="4:5" s="325" customFormat="1" x14ac:dyDescent="0.2">
      <c r="D408" s="364"/>
      <c r="E408" s="364"/>
    </row>
    <row r="409" spans="4:5" s="325" customFormat="1" x14ac:dyDescent="0.2">
      <c r="D409" s="364"/>
      <c r="E409" s="364"/>
    </row>
    <row r="410" spans="4:5" s="325" customFormat="1" x14ac:dyDescent="0.2">
      <c r="D410" s="364"/>
      <c r="E410" s="364"/>
    </row>
    <row r="411" spans="4:5" s="325" customFormat="1" x14ac:dyDescent="0.2">
      <c r="D411" s="364"/>
      <c r="E411" s="364"/>
    </row>
    <row r="412" spans="4:5" s="325" customFormat="1" x14ac:dyDescent="0.2">
      <c r="D412" s="364"/>
      <c r="E412" s="364"/>
    </row>
    <row r="413" spans="4:5" s="325" customFormat="1" x14ac:dyDescent="0.2">
      <c r="D413" s="364"/>
      <c r="E413" s="364"/>
    </row>
    <row r="414" spans="4:5" s="325" customFormat="1" x14ac:dyDescent="0.2">
      <c r="D414" s="364"/>
      <c r="E414" s="364"/>
    </row>
    <row r="415" spans="4:5" s="325" customFormat="1" x14ac:dyDescent="0.2">
      <c r="D415" s="364"/>
      <c r="E415" s="364"/>
    </row>
    <row r="416" spans="4:5" s="325" customFormat="1" x14ac:dyDescent="0.2">
      <c r="D416" s="364"/>
      <c r="E416" s="364"/>
    </row>
    <row r="417" spans="4:5" s="325" customFormat="1" x14ac:dyDescent="0.2">
      <c r="D417" s="364"/>
      <c r="E417" s="364"/>
    </row>
    <row r="418" spans="4:5" s="325" customFormat="1" x14ac:dyDescent="0.2">
      <c r="D418" s="364"/>
      <c r="E418" s="364"/>
    </row>
    <row r="419" spans="4:5" s="325" customFormat="1" x14ac:dyDescent="0.2">
      <c r="D419" s="364"/>
      <c r="E419" s="364"/>
    </row>
    <row r="420" spans="4:5" s="325" customFormat="1" x14ac:dyDescent="0.2">
      <c r="D420" s="364"/>
      <c r="E420" s="364"/>
    </row>
    <row r="421" spans="4:5" s="325" customFormat="1" x14ac:dyDescent="0.2">
      <c r="D421" s="364"/>
      <c r="E421" s="364"/>
    </row>
    <row r="422" spans="4:5" s="325" customFormat="1" x14ac:dyDescent="0.2">
      <c r="D422" s="364"/>
      <c r="E422" s="364"/>
    </row>
    <row r="423" spans="4:5" s="325" customFormat="1" x14ac:dyDescent="0.2">
      <c r="D423" s="364"/>
      <c r="E423" s="364"/>
    </row>
    <row r="424" spans="4:5" s="325" customFormat="1" x14ac:dyDescent="0.2">
      <c r="D424" s="364"/>
      <c r="E424" s="364"/>
    </row>
    <row r="425" spans="4:5" s="325" customFormat="1" x14ac:dyDescent="0.2">
      <c r="D425" s="330"/>
      <c r="E425" s="330"/>
    </row>
    <row r="426" spans="4:5" s="325" customFormat="1" x14ac:dyDescent="0.2">
      <c r="D426" s="330"/>
      <c r="E426" s="330"/>
    </row>
    <row r="427" spans="4:5" s="325" customFormat="1" x14ac:dyDescent="0.2">
      <c r="D427" s="330"/>
      <c r="E427" s="330"/>
    </row>
    <row r="428" spans="4:5" s="325" customFormat="1" x14ac:dyDescent="0.2">
      <c r="D428" s="330"/>
      <c r="E428" s="330"/>
    </row>
    <row r="429" spans="4:5" s="325" customFormat="1" x14ac:dyDescent="0.2">
      <c r="D429" s="330"/>
      <c r="E429" s="330"/>
    </row>
    <row r="430" spans="4:5" s="325" customFormat="1" x14ac:dyDescent="0.2">
      <c r="D430" s="330"/>
      <c r="E430" s="330"/>
    </row>
    <row r="431" spans="4:5" s="325" customFormat="1" x14ac:dyDescent="0.2">
      <c r="D431" s="330"/>
      <c r="E431" s="330"/>
    </row>
    <row r="432" spans="4:5" s="325" customFormat="1" x14ac:dyDescent="0.2">
      <c r="D432" s="330"/>
      <c r="E432" s="330"/>
    </row>
    <row r="433" spans="4:5" s="325" customFormat="1" x14ac:dyDescent="0.2">
      <c r="D433" s="330"/>
      <c r="E433" s="330"/>
    </row>
    <row r="434" spans="4:5" s="325" customFormat="1" x14ac:dyDescent="0.2">
      <c r="D434" s="330"/>
      <c r="E434" s="330"/>
    </row>
    <row r="435" spans="4:5" s="325" customFormat="1" x14ac:dyDescent="0.2">
      <c r="D435" s="330"/>
      <c r="E435" s="330"/>
    </row>
    <row r="436" spans="4:5" s="325" customFormat="1" x14ac:dyDescent="0.2">
      <c r="D436" s="330"/>
      <c r="E436" s="330"/>
    </row>
    <row r="437" spans="4:5" s="325" customFormat="1" x14ac:dyDescent="0.2">
      <c r="D437" s="330"/>
      <c r="E437" s="330"/>
    </row>
    <row r="438" spans="4:5" s="325" customFormat="1" x14ac:dyDescent="0.2">
      <c r="D438" s="330"/>
      <c r="E438" s="330"/>
    </row>
    <row r="439" spans="4:5" s="325" customFormat="1" x14ac:dyDescent="0.2">
      <c r="D439" s="330"/>
      <c r="E439" s="330"/>
    </row>
    <row r="440" spans="4:5" s="325" customFormat="1" x14ac:dyDescent="0.2">
      <c r="D440" s="330"/>
      <c r="E440" s="330"/>
    </row>
    <row r="441" spans="4:5" s="325" customFormat="1" x14ac:dyDescent="0.2">
      <c r="D441" s="330"/>
      <c r="E441" s="330"/>
    </row>
    <row r="442" spans="4:5" s="325" customFormat="1" x14ac:dyDescent="0.2">
      <c r="D442" s="330"/>
      <c r="E442" s="330"/>
    </row>
    <row r="443" spans="4:5" s="325" customFormat="1" x14ac:dyDescent="0.2">
      <c r="D443" s="330"/>
      <c r="E443" s="330"/>
    </row>
    <row r="444" spans="4:5" s="325" customFormat="1" x14ac:dyDescent="0.2">
      <c r="D444" s="330"/>
      <c r="E444" s="330"/>
    </row>
    <row r="445" spans="4:5" s="325" customFormat="1" x14ac:dyDescent="0.2">
      <c r="D445" s="330"/>
      <c r="E445" s="330"/>
    </row>
    <row r="446" spans="4:5" s="325" customFormat="1" x14ac:dyDescent="0.2">
      <c r="D446" s="330"/>
      <c r="E446" s="330"/>
    </row>
    <row r="447" spans="4:5" s="325" customFormat="1" x14ac:dyDescent="0.2">
      <c r="D447" s="330"/>
      <c r="E447" s="330"/>
    </row>
    <row r="448" spans="4:5" s="325" customFormat="1" x14ac:dyDescent="0.2">
      <c r="D448" s="330"/>
      <c r="E448" s="330"/>
    </row>
    <row r="449" spans="4:5" s="325" customFormat="1" x14ac:dyDescent="0.2">
      <c r="D449" s="330"/>
      <c r="E449" s="330"/>
    </row>
    <row r="450" spans="4:5" s="325" customFormat="1" x14ac:dyDescent="0.2">
      <c r="D450" s="330"/>
      <c r="E450" s="330"/>
    </row>
    <row r="451" spans="4:5" s="325" customFormat="1" x14ac:dyDescent="0.2">
      <c r="D451" s="330"/>
      <c r="E451" s="330"/>
    </row>
    <row r="452" spans="4:5" s="325" customFormat="1" x14ac:dyDescent="0.2">
      <c r="D452" s="330"/>
      <c r="E452" s="330"/>
    </row>
    <row r="453" spans="4:5" s="325" customFormat="1" x14ac:dyDescent="0.2">
      <c r="D453" s="330"/>
      <c r="E453" s="330"/>
    </row>
    <row r="454" spans="4:5" s="325" customFormat="1" x14ac:dyDescent="0.2">
      <c r="D454" s="330"/>
      <c r="E454" s="330"/>
    </row>
    <row r="455" spans="4:5" s="325" customFormat="1" x14ac:dyDescent="0.2">
      <c r="D455" s="330"/>
      <c r="E455" s="330"/>
    </row>
    <row r="456" spans="4:5" s="325" customFormat="1" x14ac:dyDescent="0.2">
      <c r="D456" s="330"/>
      <c r="E456" s="330"/>
    </row>
    <row r="457" spans="4:5" s="325" customFormat="1" x14ac:dyDescent="0.2">
      <c r="D457" s="330"/>
      <c r="E457" s="330"/>
    </row>
    <row r="458" spans="4:5" s="325" customFormat="1" x14ac:dyDescent="0.2">
      <c r="D458" s="330"/>
      <c r="E458" s="330"/>
    </row>
    <row r="459" spans="4:5" s="325" customFormat="1" x14ac:dyDescent="0.2">
      <c r="D459" s="330"/>
      <c r="E459" s="330"/>
    </row>
    <row r="460" spans="4:5" s="325" customFormat="1" x14ac:dyDescent="0.2">
      <c r="D460" s="330"/>
      <c r="E460" s="330"/>
    </row>
    <row r="461" spans="4:5" s="325" customFormat="1" x14ac:dyDescent="0.2">
      <c r="D461" s="330"/>
      <c r="E461" s="330"/>
    </row>
    <row r="462" spans="4:5" s="325" customFormat="1" x14ac:dyDescent="0.2">
      <c r="D462" s="330"/>
      <c r="E462" s="330"/>
    </row>
    <row r="463" spans="4:5" s="325" customFormat="1" x14ac:dyDescent="0.2">
      <c r="D463" s="330"/>
      <c r="E463" s="330"/>
    </row>
    <row r="464" spans="4:5" s="325" customFormat="1" x14ac:dyDescent="0.2">
      <c r="D464" s="330"/>
      <c r="E464" s="330"/>
    </row>
    <row r="465" spans="4:5" s="325" customFormat="1" x14ac:dyDescent="0.2">
      <c r="D465" s="330"/>
      <c r="E465" s="330"/>
    </row>
    <row r="466" spans="4:5" s="325" customFormat="1" x14ac:dyDescent="0.2">
      <c r="D466" s="330"/>
      <c r="E466" s="330"/>
    </row>
    <row r="467" spans="4:5" s="325" customFormat="1" x14ac:dyDescent="0.2">
      <c r="D467" s="330"/>
      <c r="E467" s="330"/>
    </row>
    <row r="468" spans="4:5" s="325" customFormat="1" x14ac:dyDescent="0.2">
      <c r="D468" s="330"/>
      <c r="E468" s="330"/>
    </row>
    <row r="469" spans="4:5" s="325" customFormat="1" x14ac:dyDescent="0.2">
      <c r="D469" s="330"/>
      <c r="E469" s="330"/>
    </row>
    <row r="470" spans="4:5" s="325" customFormat="1" x14ac:dyDescent="0.2">
      <c r="D470" s="330"/>
      <c r="E470" s="330"/>
    </row>
    <row r="471" spans="4:5" s="325" customFormat="1" x14ac:dyDescent="0.2">
      <c r="D471" s="330"/>
      <c r="E471" s="330"/>
    </row>
    <row r="472" spans="4:5" s="325" customFormat="1" x14ac:dyDescent="0.2">
      <c r="D472" s="330"/>
      <c r="E472" s="330"/>
    </row>
    <row r="473" spans="4:5" s="325" customFormat="1" x14ac:dyDescent="0.2">
      <c r="D473" s="330"/>
      <c r="E473" s="330"/>
    </row>
    <row r="474" spans="4:5" s="325" customFormat="1" x14ac:dyDescent="0.2">
      <c r="D474" s="330"/>
      <c r="E474" s="330"/>
    </row>
    <row r="475" spans="4:5" s="325" customFormat="1" x14ac:dyDescent="0.2">
      <c r="D475" s="330"/>
      <c r="E475" s="330"/>
    </row>
    <row r="476" spans="4:5" s="325" customFormat="1" x14ac:dyDescent="0.2">
      <c r="D476" s="330"/>
      <c r="E476" s="330"/>
    </row>
    <row r="477" spans="4:5" s="325" customFormat="1" x14ac:dyDescent="0.2">
      <c r="D477" s="330"/>
      <c r="E477" s="330"/>
    </row>
    <row r="478" spans="4:5" s="325" customFormat="1" x14ac:dyDescent="0.2">
      <c r="D478" s="330"/>
      <c r="E478" s="330"/>
    </row>
    <row r="479" spans="4:5" s="325" customFormat="1" x14ac:dyDescent="0.2">
      <c r="D479" s="330"/>
      <c r="E479" s="330"/>
    </row>
    <row r="480" spans="4:5" s="325" customFormat="1" x14ac:dyDescent="0.2">
      <c r="D480" s="330"/>
      <c r="E480" s="330"/>
    </row>
    <row r="481" spans="4:5" s="325" customFormat="1" x14ac:dyDescent="0.2">
      <c r="D481" s="330"/>
      <c r="E481" s="330"/>
    </row>
    <row r="482" spans="4:5" s="325" customFormat="1" x14ac:dyDescent="0.2">
      <c r="D482" s="330"/>
      <c r="E482" s="330"/>
    </row>
    <row r="483" spans="4:5" s="325" customFormat="1" x14ac:dyDescent="0.2">
      <c r="D483" s="330"/>
      <c r="E483" s="330"/>
    </row>
    <row r="484" spans="4:5" s="325" customFormat="1" x14ac:dyDescent="0.2">
      <c r="D484" s="330"/>
      <c r="E484" s="330"/>
    </row>
    <row r="485" spans="4:5" s="325" customFormat="1" x14ac:dyDescent="0.2">
      <c r="D485" s="330"/>
      <c r="E485" s="330"/>
    </row>
    <row r="486" spans="4:5" s="325" customFormat="1" x14ac:dyDescent="0.2">
      <c r="D486" s="330"/>
      <c r="E486" s="330"/>
    </row>
    <row r="487" spans="4:5" s="325" customFormat="1" x14ac:dyDescent="0.2">
      <c r="D487" s="330"/>
      <c r="E487" s="330"/>
    </row>
    <row r="488" spans="4:5" s="325" customFormat="1" x14ac:dyDescent="0.2">
      <c r="D488" s="330"/>
      <c r="E488" s="330"/>
    </row>
    <row r="489" spans="4:5" s="325" customFormat="1" x14ac:dyDescent="0.2">
      <c r="D489" s="330"/>
      <c r="E489" s="330"/>
    </row>
    <row r="490" spans="4:5" s="325" customFormat="1" x14ac:dyDescent="0.2">
      <c r="D490" s="330"/>
      <c r="E490" s="330"/>
    </row>
    <row r="491" spans="4:5" s="325" customFormat="1" x14ac:dyDescent="0.2">
      <c r="D491" s="330"/>
      <c r="E491" s="330"/>
    </row>
    <row r="492" spans="4:5" s="325" customFormat="1" x14ac:dyDescent="0.2">
      <c r="D492" s="330"/>
      <c r="E492" s="330"/>
    </row>
    <row r="493" spans="4:5" s="325" customFormat="1" x14ac:dyDescent="0.2">
      <c r="D493" s="330"/>
      <c r="E493" s="330"/>
    </row>
    <row r="494" spans="4:5" s="325" customFormat="1" x14ac:dyDescent="0.2">
      <c r="D494" s="330"/>
      <c r="E494" s="330"/>
    </row>
    <row r="495" spans="4:5" s="325" customFormat="1" x14ac:dyDescent="0.2">
      <c r="D495" s="330"/>
      <c r="E495" s="330"/>
    </row>
    <row r="496" spans="4:5" s="325" customFormat="1" x14ac:dyDescent="0.2">
      <c r="D496" s="330"/>
      <c r="E496" s="330"/>
    </row>
    <row r="497" spans="4:5" s="325" customFormat="1" x14ac:dyDescent="0.2">
      <c r="D497" s="330"/>
      <c r="E497" s="330"/>
    </row>
    <row r="498" spans="4:5" s="325" customFormat="1" x14ac:dyDescent="0.2">
      <c r="D498" s="330"/>
      <c r="E498" s="330"/>
    </row>
    <row r="499" spans="4:5" s="325" customFormat="1" x14ac:dyDescent="0.2">
      <c r="D499" s="330"/>
      <c r="E499" s="330"/>
    </row>
    <row r="500" spans="4:5" s="325" customFormat="1" x14ac:dyDescent="0.2">
      <c r="D500" s="330"/>
      <c r="E500" s="330"/>
    </row>
    <row r="501" spans="4:5" s="325" customFormat="1" x14ac:dyDescent="0.2">
      <c r="D501" s="330"/>
      <c r="E501" s="330"/>
    </row>
    <row r="502" spans="4:5" s="325" customFormat="1" x14ac:dyDescent="0.2">
      <c r="D502" s="330"/>
      <c r="E502" s="330"/>
    </row>
    <row r="503" spans="4:5" s="325" customFormat="1" x14ac:dyDescent="0.2">
      <c r="D503" s="330"/>
      <c r="E503" s="330"/>
    </row>
    <row r="504" spans="4:5" s="325" customFormat="1" x14ac:dyDescent="0.2">
      <c r="D504" s="330"/>
      <c r="E504" s="330"/>
    </row>
    <row r="505" spans="4:5" s="325" customFormat="1" x14ac:dyDescent="0.2">
      <c r="D505" s="330"/>
      <c r="E505" s="330"/>
    </row>
    <row r="506" spans="4:5" s="325" customFormat="1" x14ac:dyDescent="0.2">
      <c r="D506" s="330"/>
      <c r="E506" s="330"/>
    </row>
    <row r="507" spans="4:5" s="325" customFormat="1" x14ac:dyDescent="0.2">
      <c r="D507" s="330"/>
      <c r="E507" s="330"/>
    </row>
    <row r="508" spans="4:5" s="325" customFormat="1" x14ac:dyDescent="0.2">
      <c r="D508" s="330"/>
      <c r="E508" s="330"/>
    </row>
    <row r="509" spans="4:5" s="325" customFormat="1" x14ac:dyDescent="0.2">
      <c r="D509" s="330"/>
      <c r="E509" s="330"/>
    </row>
    <row r="510" spans="4:5" s="325" customFormat="1" x14ac:dyDescent="0.2">
      <c r="D510" s="330"/>
      <c r="E510" s="330"/>
    </row>
    <row r="511" spans="4:5" s="325" customFormat="1" x14ac:dyDescent="0.2">
      <c r="D511" s="330"/>
      <c r="E511" s="330"/>
    </row>
    <row r="512" spans="4:5" s="325" customFormat="1" x14ac:dyDescent="0.2">
      <c r="D512" s="330"/>
      <c r="E512" s="330"/>
    </row>
    <row r="513" spans="4:5" s="325" customFormat="1" x14ac:dyDescent="0.2">
      <c r="D513" s="330"/>
      <c r="E513" s="330"/>
    </row>
    <row r="514" spans="4:5" s="325" customFormat="1" x14ac:dyDescent="0.2">
      <c r="D514" s="330"/>
      <c r="E514" s="330"/>
    </row>
    <row r="515" spans="4:5" s="325" customFormat="1" x14ac:dyDescent="0.2">
      <c r="D515" s="330"/>
      <c r="E515" s="330"/>
    </row>
    <row r="516" spans="4:5" s="325" customFormat="1" x14ac:dyDescent="0.2">
      <c r="D516" s="330"/>
      <c r="E516" s="330"/>
    </row>
    <row r="517" spans="4:5" s="325" customFormat="1" x14ac:dyDescent="0.2">
      <c r="D517" s="330"/>
      <c r="E517" s="330"/>
    </row>
    <row r="518" spans="4:5" s="325" customFormat="1" x14ac:dyDescent="0.2">
      <c r="D518" s="330"/>
      <c r="E518" s="330"/>
    </row>
    <row r="519" spans="4:5" s="325" customFormat="1" x14ac:dyDescent="0.2">
      <c r="D519" s="330"/>
      <c r="E519" s="330"/>
    </row>
    <row r="520" spans="4:5" s="325" customFormat="1" x14ac:dyDescent="0.2">
      <c r="D520" s="330"/>
      <c r="E520" s="330"/>
    </row>
    <row r="521" spans="4:5" s="325" customFormat="1" x14ac:dyDescent="0.2">
      <c r="D521" s="330"/>
      <c r="E521" s="330"/>
    </row>
    <row r="522" spans="4:5" s="325" customFormat="1" x14ac:dyDescent="0.2">
      <c r="D522" s="330"/>
      <c r="E522" s="330"/>
    </row>
    <row r="523" spans="4:5" s="325" customFormat="1" x14ac:dyDescent="0.2">
      <c r="D523" s="330"/>
      <c r="E523" s="330"/>
    </row>
    <row r="524" spans="4:5" s="325" customFormat="1" x14ac:dyDescent="0.2">
      <c r="D524" s="330"/>
      <c r="E524" s="330"/>
    </row>
    <row r="525" spans="4:5" s="325" customFormat="1" x14ac:dyDescent="0.2">
      <c r="D525" s="330"/>
      <c r="E525" s="330"/>
    </row>
    <row r="526" spans="4:5" s="325" customFormat="1" x14ac:dyDescent="0.2">
      <c r="D526" s="330"/>
      <c r="E526" s="330"/>
    </row>
    <row r="527" spans="4:5" s="325" customFormat="1" x14ac:dyDescent="0.2">
      <c r="D527" s="330"/>
      <c r="E527" s="330"/>
    </row>
    <row r="528" spans="4:5" s="325" customFormat="1" x14ac:dyDescent="0.2">
      <c r="D528" s="330"/>
      <c r="E528" s="330"/>
    </row>
    <row r="529" spans="4:5" s="325" customFormat="1" x14ac:dyDescent="0.2">
      <c r="D529" s="330"/>
      <c r="E529" s="330"/>
    </row>
    <row r="530" spans="4:5" s="325" customFormat="1" x14ac:dyDescent="0.2">
      <c r="D530" s="330"/>
      <c r="E530" s="330"/>
    </row>
    <row r="531" spans="4:5" s="325" customFormat="1" x14ac:dyDescent="0.2">
      <c r="D531" s="330"/>
      <c r="E531" s="330"/>
    </row>
    <row r="532" spans="4:5" s="325" customFormat="1" x14ac:dyDescent="0.2">
      <c r="D532" s="330"/>
      <c r="E532" s="330"/>
    </row>
    <row r="533" spans="4:5" s="325" customFormat="1" x14ac:dyDescent="0.2">
      <c r="D533" s="330"/>
      <c r="E533" s="330"/>
    </row>
    <row r="534" spans="4:5" s="325" customFormat="1" x14ac:dyDescent="0.2">
      <c r="D534" s="330"/>
      <c r="E534" s="330"/>
    </row>
    <row r="535" spans="4:5" s="325" customFormat="1" x14ac:dyDescent="0.2">
      <c r="D535" s="330"/>
      <c r="E535" s="330"/>
    </row>
    <row r="536" spans="4:5" s="325" customFormat="1" x14ac:dyDescent="0.2">
      <c r="D536" s="330"/>
      <c r="E536" s="330"/>
    </row>
    <row r="537" spans="4:5" s="325" customFormat="1" x14ac:dyDescent="0.2">
      <c r="D537" s="330"/>
      <c r="E537" s="330"/>
    </row>
    <row r="538" spans="4:5" s="325" customFormat="1" x14ac:dyDescent="0.2">
      <c r="D538" s="330"/>
      <c r="E538" s="330"/>
    </row>
    <row r="539" spans="4:5" s="325" customFormat="1" x14ac:dyDescent="0.2">
      <c r="D539" s="330"/>
      <c r="E539" s="330"/>
    </row>
    <row r="540" spans="4:5" s="325" customFormat="1" x14ac:dyDescent="0.2">
      <c r="D540" s="330"/>
      <c r="E540" s="330"/>
    </row>
    <row r="541" spans="4:5" s="325" customFormat="1" x14ac:dyDescent="0.2">
      <c r="D541" s="330"/>
      <c r="E541" s="330"/>
    </row>
    <row r="542" spans="4:5" s="325" customFormat="1" x14ac:dyDescent="0.2">
      <c r="D542" s="330"/>
      <c r="E542" s="330"/>
    </row>
    <row r="543" spans="4:5" s="325" customFormat="1" x14ac:dyDescent="0.2">
      <c r="D543" s="330"/>
      <c r="E543" s="330"/>
    </row>
    <row r="544" spans="4:5" s="325" customFormat="1" x14ac:dyDescent="0.2">
      <c r="D544" s="330"/>
      <c r="E544" s="330"/>
    </row>
    <row r="545" spans="4:5" s="325" customFormat="1" x14ac:dyDescent="0.2">
      <c r="D545" s="330"/>
      <c r="E545" s="330"/>
    </row>
    <row r="546" spans="4:5" s="325" customFormat="1" x14ac:dyDescent="0.2">
      <c r="D546" s="330"/>
      <c r="E546" s="330"/>
    </row>
    <row r="547" spans="4:5" s="325" customFormat="1" x14ac:dyDescent="0.2">
      <c r="D547" s="330"/>
      <c r="E547" s="330"/>
    </row>
    <row r="548" spans="4:5" s="325" customFormat="1" x14ac:dyDescent="0.2">
      <c r="D548" s="330"/>
      <c r="E548" s="330"/>
    </row>
    <row r="549" spans="4:5" s="325" customFormat="1" x14ac:dyDescent="0.2">
      <c r="D549" s="330"/>
      <c r="E549" s="330"/>
    </row>
    <row r="550" spans="4:5" s="325" customFormat="1" x14ac:dyDescent="0.2">
      <c r="D550" s="330"/>
      <c r="E550" s="330"/>
    </row>
    <row r="551" spans="4:5" s="325" customFormat="1" x14ac:dyDescent="0.2">
      <c r="D551" s="330"/>
      <c r="E551" s="330"/>
    </row>
    <row r="552" spans="4:5" s="325" customFormat="1" x14ac:dyDescent="0.2">
      <c r="D552" s="330"/>
      <c r="E552" s="330"/>
    </row>
    <row r="553" spans="4:5" s="325" customFormat="1" x14ac:dyDescent="0.2">
      <c r="D553" s="330"/>
      <c r="E553" s="330"/>
    </row>
    <row r="554" spans="4:5" s="325" customFormat="1" x14ac:dyDescent="0.2">
      <c r="D554" s="330"/>
      <c r="E554" s="330"/>
    </row>
    <row r="555" spans="4:5" s="325" customFormat="1" x14ac:dyDescent="0.2">
      <c r="D555" s="330"/>
      <c r="E555" s="330"/>
    </row>
    <row r="556" spans="4:5" s="325" customFormat="1" x14ac:dyDescent="0.2">
      <c r="D556" s="330"/>
      <c r="E556" s="330"/>
    </row>
    <row r="557" spans="4:5" s="325" customFormat="1" x14ac:dyDescent="0.2">
      <c r="D557" s="330"/>
      <c r="E557" s="330"/>
    </row>
    <row r="558" spans="4:5" s="325" customFormat="1" x14ac:dyDescent="0.2">
      <c r="D558" s="330"/>
      <c r="E558" s="330"/>
    </row>
    <row r="559" spans="4:5" s="325" customFormat="1" x14ac:dyDescent="0.2">
      <c r="D559" s="330"/>
      <c r="E559" s="330"/>
    </row>
    <row r="560" spans="4:5" s="325" customFormat="1" x14ac:dyDescent="0.2">
      <c r="D560" s="330"/>
      <c r="E560" s="330"/>
    </row>
    <row r="561" spans="4:5" s="325" customFormat="1" x14ac:dyDescent="0.2">
      <c r="D561" s="330"/>
      <c r="E561" s="330"/>
    </row>
    <row r="562" spans="4:5" s="325" customFormat="1" x14ac:dyDescent="0.2">
      <c r="D562" s="330"/>
      <c r="E562" s="330"/>
    </row>
    <row r="563" spans="4:5" s="325" customFormat="1" x14ac:dyDescent="0.2">
      <c r="D563" s="330"/>
      <c r="E563" s="330"/>
    </row>
    <row r="564" spans="4:5" s="325" customFormat="1" x14ac:dyDescent="0.2">
      <c r="D564" s="330"/>
      <c r="E564" s="330"/>
    </row>
    <row r="565" spans="4:5" s="325" customFormat="1" x14ac:dyDescent="0.2">
      <c r="D565" s="330"/>
      <c r="E565" s="330"/>
    </row>
    <row r="566" spans="4:5" s="325" customFormat="1" x14ac:dyDescent="0.2">
      <c r="D566" s="330"/>
      <c r="E566" s="330"/>
    </row>
    <row r="567" spans="4:5" s="325" customFormat="1" x14ac:dyDescent="0.2">
      <c r="D567" s="330"/>
      <c r="E567" s="330"/>
    </row>
    <row r="568" spans="4:5" s="325" customFormat="1" x14ac:dyDescent="0.2">
      <c r="D568" s="330"/>
      <c r="E568" s="330"/>
    </row>
    <row r="569" spans="4:5" s="325" customFormat="1" x14ac:dyDescent="0.2">
      <c r="D569" s="330"/>
      <c r="E569" s="330"/>
    </row>
    <row r="570" spans="4:5" s="325" customFormat="1" x14ac:dyDescent="0.2">
      <c r="D570" s="330"/>
      <c r="E570" s="330"/>
    </row>
    <row r="571" spans="4:5" s="325" customFormat="1" x14ac:dyDescent="0.2">
      <c r="D571" s="330"/>
      <c r="E571" s="330"/>
    </row>
    <row r="572" spans="4:5" s="325" customFormat="1" x14ac:dyDescent="0.2">
      <c r="D572" s="330"/>
      <c r="E572" s="330"/>
    </row>
    <row r="573" spans="4:5" s="325" customFormat="1" x14ac:dyDescent="0.2">
      <c r="D573" s="330"/>
      <c r="E573" s="330"/>
    </row>
    <row r="574" spans="4:5" s="325" customFormat="1" x14ac:dyDescent="0.2">
      <c r="D574" s="330"/>
      <c r="E574" s="330"/>
    </row>
    <row r="575" spans="4:5" s="325" customFormat="1" x14ac:dyDescent="0.2">
      <c r="D575" s="330"/>
      <c r="E575" s="330"/>
    </row>
    <row r="576" spans="4:5" s="325" customFormat="1" x14ac:dyDescent="0.2">
      <c r="D576" s="330"/>
      <c r="E576" s="330"/>
    </row>
    <row r="577" spans="4:5" s="325" customFormat="1" x14ac:dyDescent="0.2">
      <c r="D577" s="330"/>
      <c r="E577" s="330"/>
    </row>
    <row r="578" spans="4:5" s="325" customFormat="1" x14ac:dyDescent="0.2">
      <c r="D578" s="330"/>
      <c r="E578" s="330"/>
    </row>
    <row r="579" spans="4:5" s="325" customFormat="1" x14ac:dyDescent="0.2">
      <c r="D579" s="330"/>
      <c r="E579" s="330"/>
    </row>
    <row r="580" spans="4:5" s="325" customFormat="1" x14ac:dyDescent="0.2">
      <c r="D580" s="330"/>
      <c r="E580" s="330"/>
    </row>
    <row r="581" spans="4:5" s="325" customFormat="1" x14ac:dyDescent="0.2">
      <c r="D581" s="330"/>
      <c r="E581" s="330"/>
    </row>
    <row r="582" spans="4:5" s="325" customFormat="1" x14ac:dyDescent="0.2">
      <c r="D582" s="330"/>
      <c r="E582" s="330"/>
    </row>
    <row r="583" spans="4:5" s="325" customFormat="1" x14ac:dyDescent="0.2">
      <c r="D583" s="330"/>
      <c r="E583" s="330"/>
    </row>
    <row r="584" spans="4:5" s="325" customFormat="1" x14ac:dyDescent="0.2">
      <c r="D584" s="330"/>
      <c r="E584" s="330"/>
    </row>
    <row r="585" spans="4:5" s="325" customFormat="1" x14ac:dyDescent="0.2">
      <c r="D585" s="330"/>
      <c r="E585" s="330"/>
    </row>
    <row r="586" spans="4:5" s="325" customFormat="1" x14ac:dyDescent="0.2">
      <c r="D586" s="330"/>
      <c r="E586" s="330"/>
    </row>
    <row r="587" spans="4:5" s="325" customFormat="1" x14ac:dyDescent="0.2">
      <c r="D587" s="330"/>
      <c r="E587" s="330"/>
    </row>
    <row r="588" spans="4:5" s="325" customFormat="1" x14ac:dyDescent="0.2">
      <c r="D588" s="330"/>
      <c r="E588" s="330"/>
    </row>
    <row r="589" spans="4:5" s="325" customFormat="1" x14ac:dyDescent="0.2">
      <c r="D589" s="330"/>
      <c r="E589" s="330"/>
    </row>
    <row r="590" spans="4:5" s="325" customFormat="1" x14ac:dyDescent="0.2">
      <c r="D590" s="330"/>
      <c r="E590" s="330"/>
    </row>
    <row r="591" spans="4:5" s="325" customFormat="1" x14ac:dyDescent="0.2">
      <c r="D591" s="330"/>
      <c r="E591" s="330"/>
    </row>
    <row r="592" spans="4:5" s="325" customFormat="1" x14ac:dyDescent="0.2">
      <c r="D592" s="330"/>
      <c r="E592" s="330"/>
    </row>
    <row r="593" spans="4:5" s="325" customFormat="1" x14ac:dyDescent="0.2">
      <c r="D593" s="330"/>
      <c r="E593" s="330"/>
    </row>
    <row r="594" spans="4:5" s="325" customFormat="1" x14ac:dyDescent="0.2">
      <c r="D594" s="330"/>
      <c r="E594" s="330"/>
    </row>
    <row r="595" spans="4:5" s="325" customFormat="1" x14ac:dyDescent="0.2">
      <c r="D595" s="330"/>
      <c r="E595" s="330"/>
    </row>
    <row r="596" spans="4:5" s="325" customFormat="1" x14ac:dyDescent="0.2">
      <c r="D596" s="330"/>
      <c r="E596" s="330"/>
    </row>
    <row r="597" spans="4:5" s="325" customFormat="1" x14ac:dyDescent="0.2">
      <c r="D597" s="330"/>
      <c r="E597" s="330"/>
    </row>
    <row r="598" spans="4:5" s="325" customFormat="1" x14ac:dyDescent="0.2">
      <c r="D598" s="330"/>
      <c r="E598" s="330"/>
    </row>
    <row r="599" spans="4:5" s="325" customFormat="1" x14ac:dyDescent="0.2">
      <c r="D599" s="330"/>
      <c r="E599" s="330"/>
    </row>
    <row r="600" spans="4:5" s="325" customFormat="1" x14ac:dyDescent="0.2">
      <c r="D600" s="330"/>
      <c r="E600" s="330"/>
    </row>
    <row r="601" spans="4:5" s="325" customFormat="1" x14ac:dyDescent="0.2">
      <c r="D601" s="330"/>
      <c r="E601" s="330"/>
    </row>
    <row r="602" spans="4:5" s="325" customFormat="1" x14ac:dyDescent="0.2">
      <c r="D602" s="330"/>
      <c r="E602" s="330"/>
    </row>
    <row r="603" spans="4:5" s="325" customFormat="1" x14ac:dyDescent="0.2">
      <c r="D603" s="330"/>
      <c r="E603" s="330"/>
    </row>
    <row r="604" spans="4:5" s="325" customFormat="1" x14ac:dyDescent="0.2">
      <c r="D604" s="330"/>
      <c r="E604" s="330"/>
    </row>
    <row r="605" spans="4:5" s="325" customFormat="1" x14ac:dyDescent="0.2">
      <c r="D605" s="330"/>
      <c r="E605" s="330"/>
    </row>
    <row r="606" spans="4:5" s="325" customFormat="1" x14ac:dyDescent="0.2">
      <c r="D606" s="330"/>
      <c r="E606" s="330"/>
    </row>
    <row r="607" spans="4:5" s="325" customFormat="1" x14ac:dyDescent="0.2">
      <c r="D607" s="330"/>
      <c r="E607" s="330"/>
    </row>
    <row r="608" spans="4:5" s="325" customFormat="1" x14ac:dyDescent="0.2">
      <c r="D608" s="330"/>
      <c r="E608" s="330"/>
    </row>
    <row r="609" spans="4:5" s="325" customFormat="1" x14ac:dyDescent="0.2">
      <c r="D609" s="330"/>
      <c r="E609" s="330"/>
    </row>
    <row r="610" spans="4:5" s="325" customFormat="1" x14ac:dyDescent="0.2">
      <c r="D610" s="330"/>
      <c r="E610" s="330"/>
    </row>
    <row r="611" spans="4:5" s="325" customFormat="1" x14ac:dyDescent="0.2">
      <c r="D611" s="330"/>
      <c r="E611" s="330"/>
    </row>
    <row r="612" spans="4:5" s="325" customFormat="1" x14ac:dyDescent="0.2">
      <c r="D612" s="330"/>
      <c r="E612" s="330"/>
    </row>
    <row r="613" spans="4:5" s="325" customFormat="1" x14ac:dyDescent="0.2">
      <c r="D613" s="330"/>
      <c r="E613" s="330"/>
    </row>
    <row r="614" spans="4:5" s="325" customFormat="1" x14ac:dyDescent="0.2">
      <c r="D614" s="330"/>
      <c r="E614" s="330"/>
    </row>
    <row r="615" spans="4:5" s="325" customFormat="1" x14ac:dyDescent="0.2">
      <c r="D615" s="330"/>
      <c r="E615" s="330"/>
    </row>
    <row r="616" spans="4:5" s="325" customFormat="1" x14ac:dyDescent="0.2">
      <c r="D616" s="330"/>
      <c r="E616" s="330"/>
    </row>
    <row r="617" spans="4:5" s="325" customFormat="1" x14ac:dyDescent="0.2">
      <c r="D617" s="330"/>
      <c r="E617" s="330"/>
    </row>
    <row r="618" spans="4:5" s="325" customFormat="1" x14ac:dyDescent="0.2">
      <c r="D618" s="330"/>
      <c r="E618" s="330"/>
    </row>
    <row r="619" spans="4:5" s="325" customFormat="1" x14ac:dyDescent="0.2">
      <c r="D619" s="330"/>
      <c r="E619" s="330"/>
    </row>
    <row r="620" spans="4:5" s="325" customFormat="1" x14ac:dyDescent="0.2">
      <c r="D620" s="330"/>
      <c r="E620" s="330"/>
    </row>
    <row r="621" spans="4:5" s="325" customFormat="1" x14ac:dyDescent="0.2">
      <c r="D621" s="330"/>
      <c r="E621" s="330"/>
    </row>
    <row r="622" spans="4:5" s="325" customFormat="1" x14ac:dyDescent="0.2">
      <c r="D622" s="330"/>
      <c r="E622" s="330"/>
    </row>
    <row r="623" spans="4:5" s="325" customFormat="1" x14ac:dyDescent="0.2">
      <c r="D623" s="330"/>
      <c r="E623" s="330"/>
    </row>
    <row r="624" spans="4:5" s="325" customFormat="1" x14ac:dyDescent="0.2">
      <c r="D624" s="330"/>
      <c r="E624" s="330"/>
    </row>
    <row r="625" spans="4:5" s="325" customFormat="1" x14ac:dyDescent="0.2">
      <c r="D625" s="330"/>
      <c r="E625" s="330"/>
    </row>
    <row r="626" spans="4:5" s="325" customFormat="1" x14ac:dyDescent="0.2">
      <c r="D626" s="330"/>
      <c r="E626" s="330"/>
    </row>
    <row r="627" spans="4:5" s="325" customFormat="1" x14ac:dyDescent="0.2">
      <c r="D627" s="330"/>
      <c r="E627" s="330"/>
    </row>
    <row r="628" spans="4:5" s="325" customFormat="1" x14ac:dyDescent="0.2">
      <c r="D628" s="330"/>
      <c r="E628" s="330"/>
    </row>
    <row r="629" spans="4:5" s="325" customFormat="1" x14ac:dyDescent="0.2">
      <c r="D629" s="330"/>
      <c r="E629" s="330"/>
    </row>
    <row r="630" spans="4:5" s="325" customFormat="1" x14ac:dyDescent="0.2">
      <c r="D630" s="330"/>
      <c r="E630" s="330"/>
    </row>
    <row r="631" spans="4:5" s="325" customFormat="1" x14ac:dyDescent="0.2">
      <c r="D631" s="330"/>
      <c r="E631" s="330"/>
    </row>
    <row r="632" spans="4:5" s="325" customFormat="1" x14ac:dyDescent="0.2">
      <c r="D632" s="330"/>
      <c r="E632" s="330"/>
    </row>
    <row r="633" spans="4:5" s="325" customFormat="1" x14ac:dyDescent="0.2">
      <c r="D633" s="330"/>
      <c r="E633" s="330"/>
    </row>
    <row r="634" spans="4:5" s="325" customFormat="1" x14ac:dyDescent="0.2">
      <c r="D634" s="330"/>
      <c r="E634" s="330"/>
    </row>
    <row r="635" spans="4:5" s="325" customFormat="1" x14ac:dyDescent="0.2">
      <c r="D635" s="330"/>
      <c r="E635" s="330"/>
    </row>
    <row r="636" spans="4:5" s="325" customFormat="1" x14ac:dyDescent="0.2">
      <c r="D636" s="330"/>
      <c r="E636" s="330"/>
    </row>
    <row r="637" spans="4:5" s="325" customFormat="1" x14ac:dyDescent="0.2">
      <c r="D637" s="330"/>
      <c r="E637" s="330"/>
    </row>
    <row r="638" spans="4:5" s="325" customFormat="1" x14ac:dyDescent="0.2">
      <c r="D638" s="330"/>
      <c r="E638" s="330"/>
    </row>
    <row r="639" spans="4:5" s="325" customFormat="1" x14ac:dyDescent="0.2">
      <c r="D639" s="330"/>
      <c r="E639" s="330"/>
    </row>
    <row r="640" spans="4:5" s="325" customFormat="1" x14ac:dyDescent="0.2">
      <c r="D640" s="330"/>
      <c r="E640" s="330"/>
    </row>
    <row r="641" spans="4:5" s="325" customFormat="1" x14ac:dyDescent="0.2">
      <c r="D641" s="330"/>
      <c r="E641" s="330"/>
    </row>
    <row r="642" spans="4:5" s="325" customFormat="1" x14ac:dyDescent="0.2">
      <c r="D642" s="330"/>
      <c r="E642" s="330"/>
    </row>
    <row r="643" spans="4:5" s="325" customFormat="1" x14ac:dyDescent="0.2">
      <c r="D643" s="330"/>
      <c r="E643" s="330"/>
    </row>
    <row r="644" spans="4:5" s="325" customFormat="1" x14ac:dyDescent="0.2">
      <c r="D644" s="330"/>
      <c r="E644" s="330"/>
    </row>
    <row r="645" spans="4:5" s="325" customFormat="1" x14ac:dyDescent="0.2">
      <c r="D645" s="330"/>
      <c r="E645" s="330"/>
    </row>
    <row r="646" spans="4:5" s="325" customFormat="1" x14ac:dyDescent="0.2">
      <c r="D646" s="330"/>
      <c r="E646" s="330"/>
    </row>
    <row r="647" spans="4:5" s="325" customFormat="1" x14ac:dyDescent="0.2">
      <c r="D647" s="330"/>
      <c r="E647" s="330"/>
    </row>
    <row r="648" spans="4:5" s="325" customFormat="1" x14ac:dyDescent="0.2">
      <c r="D648" s="330"/>
      <c r="E648" s="330"/>
    </row>
    <row r="649" spans="4:5" s="325" customFormat="1" x14ac:dyDescent="0.2">
      <c r="D649" s="330"/>
      <c r="E649" s="330"/>
    </row>
    <row r="650" spans="4:5" s="325" customFormat="1" x14ac:dyDescent="0.2">
      <c r="D650" s="330"/>
      <c r="E650" s="330"/>
    </row>
    <row r="651" spans="4:5" s="325" customFormat="1" x14ac:dyDescent="0.2">
      <c r="D651" s="330"/>
      <c r="E651" s="330"/>
    </row>
    <row r="652" spans="4:5" s="325" customFormat="1" x14ac:dyDescent="0.2">
      <c r="D652" s="330"/>
      <c r="E652" s="330"/>
    </row>
    <row r="653" spans="4:5" s="325" customFormat="1" x14ac:dyDescent="0.2">
      <c r="D653" s="330"/>
      <c r="E653" s="330"/>
    </row>
    <row r="654" spans="4:5" s="325" customFormat="1" x14ac:dyDescent="0.2">
      <c r="D654" s="330"/>
      <c r="E654" s="330"/>
    </row>
    <row r="655" spans="4:5" s="325" customFormat="1" x14ac:dyDescent="0.2">
      <c r="D655" s="330"/>
      <c r="E655" s="330"/>
    </row>
    <row r="656" spans="4:5" s="325" customFormat="1" x14ac:dyDescent="0.2">
      <c r="D656" s="330"/>
      <c r="E656" s="330"/>
    </row>
    <row r="657" spans="4:5" s="325" customFormat="1" x14ac:dyDescent="0.2">
      <c r="D657" s="330"/>
      <c r="E657" s="330"/>
    </row>
    <row r="658" spans="4:5" s="325" customFormat="1" x14ac:dyDescent="0.2">
      <c r="D658" s="330"/>
      <c r="E658" s="330"/>
    </row>
    <row r="659" spans="4:5" s="325" customFormat="1" x14ac:dyDescent="0.2">
      <c r="D659" s="330"/>
      <c r="E659" s="330"/>
    </row>
    <row r="660" spans="4:5" s="325" customFormat="1" x14ac:dyDescent="0.2">
      <c r="D660" s="330"/>
      <c r="E660" s="330"/>
    </row>
    <row r="661" spans="4:5" s="325" customFormat="1" x14ac:dyDescent="0.2">
      <c r="D661" s="330"/>
      <c r="E661" s="330"/>
    </row>
    <row r="662" spans="4:5" s="325" customFormat="1" x14ac:dyDescent="0.2">
      <c r="D662" s="330"/>
      <c r="E662" s="330"/>
    </row>
    <row r="663" spans="4:5" s="325" customFormat="1" x14ac:dyDescent="0.2">
      <c r="D663" s="330"/>
      <c r="E663" s="330"/>
    </row>
    <row r="664" spans="4:5" s="325" customFormat="1" x14ac:dyDescent="0.2">
      <c r="D664" s="330"/>
      <c r="E664" s="330"/>
    </row>
    <row r="665" spans="4:5" s="325" customFormat="1" x14ac:dyDescent="0.2">
      <c r="D665" s="330"/>
      <c r="E665" s="330"/>
    </row>
    <row r="666" spans="4:5" s="325" customFormat="1" x14ac:dyDescent="0.2">
      <c r="D666" s="330"/>
      <c r="E666" s="330"/>
    </row>
    <row r="667" spans="4:5" s="325" customFormat="1" x14ac:dyDescent="0.2">
      <c r="D667" s="330"/>
      <c r="E667" s="330"/>
    </row>
    <row r="668" spans="4:5" s="325" customFormat="1" x14ac:dyDescent="0.2">
      <c r="D668" s="330"/>
      <c r="E668" s="330"/>
    </row>
    <row r="669" spans="4:5" s="325" customFormat="1" x14ac:dyDescent="0.2">
      <c r="D669" s="330"/>
      <c r="E669" s="330"/>
    </row>
    <row r="670" spans="4:5" s="325" customFormat="1" x14ac:dyDescent="0.2">
      <c r="D670" s="330"/>
      <c r="E670" s="330"/>
    </row>
    <row r="671" spans="4:5" s="325" customFormat="1" x14ac:dyDescent="0.2">
      <c r="D671" s="330"/>
      <c r="E671" s="330"/>
    </row>
    <row r="672" spans="4:5" s="325" customFormat="1" x14ac:dyDescent="0.2">
      <c r="D672" s="330"/>
      <c r="E672" s="330"/>
    </row>
    <row r="673" spans="4:5" s="325" customFormat="1" x14ac:dyDescent="0.2">
      <c r="D673" s="330"/>
      <c r="E673" s="330"/>
    </row>
    <row r="674" spans="4:5" s="325" customFormat="1" x14ac:dyDescent="0.2">
      <c r="D674" s="330"/>
      <c r="E674" s="330"/>
    </row>
    <row r="675" spans="4:5" s="325" customFormat="1" x14ac:dyDescent="0.2">
      <c r="D675" s="330"/>
      <c r="E675" s="330"/>
    </row>
    <row r="676" spans="4:5" s="325" customFormat="1" x14ac:dyDescent="0.2">
      <c r="D676" s="330"/>
      <c r="E676" s="330"/>
    </row>
    <row r="677" spans="4:5" s="325" customFormat="1" x14ac:dyDescent="0.2">
      <c r="D677" s="330"/>
      <c r="E677" s="330"/>
    </row>
    <row r="678" spans="4:5" s="325" customFormat="1" x14ac:dyDescent="0.2">
      <c r="D678" s="330"/>
      <c r="E678" s="330"/>
    </row>
    <row r="679" spans="4:5" s="325" customFormat="1" x14ac:dyDescent="0.2">
      <c r="D679" s="330"/>
      <c r="E679" s="330"/>
    </row>
    <row r="680" spans="4:5" s="325" customFormat="1" x14ac:dyDescent="0.2">
      <c r="D680" s="330"/>
      <c r="E680" s="330"/>
    </row>
    <row r="681" spans="4:5" s="325" customFormat="1" x14ac:dyDescent="0.2">
      <c r="D681" s="330"/>
      <c r="E681" s="330"/>
    </row>
    <row r="682" spans="4:5" s="325" customFormat="1" x14ac:dyDescent="0.2">
      <c r="D682" s="330"/>
      <c r="E682" s="330"/>
    </row>
    <row r="683" spans="4:5" s="325" customFormat="1" x14ac:dyDescent="0.2">
      <c r="D683" s="330"/>
      <c r="E683" s="330"/>
    </row>
    <row r="684" spans="4:5" s="325" customFormat="1" x14ac:dyDescent="0.2">
      <c r="D684" s="330"/>
      <c r="E684" s="330"/>
    </row>
    <row r="685" spans="4:5" s="325" customFormat="1" x14ac:dyDescent="0.2">
      <c r="D685" s="330"/>
      <c r="E685" s="330"/>
    </row>
    <row r="686" spans="4:5" s="325" customFormat="1" x14ac:dyDescent="0.2">
      <c r="D686" s="330"/>
      <c r="E686" s="330"/>
    </row>
    <row r="687" spans="4:5" s="325" customFormat="1" x14ac:dyDescent="0.2">
      <c r="D687" s="330"/>
      <c r="E687" s="330"/>
    </row>
    <row r="688" spans="4:5" s="325" customFormat="1" x14ac:dyDescent="0.2">
      <c r="D688" s="330"/>
      <c r="E688" s="330"/>
    </row>
    <row r="689" spans="4:5" s="325" customFormat="1" x14ac:dyDescent="0.2">
      <c r="D689" s="330"/>
      <c r="E689" s="330"/>
    </row>
    <row r="690" spans="4:5" s="325" customFormat="1" x14ac:dyDescent="0.2">
      <c r="D690" s="330"/>
      <c r="E690" s="330"/>
    </row>
    <row r="691" spans="4:5" s="325" customFormat="1" x14ac:dyDescent="0.2">
      <c r="D691" s="330"/>
      <c r="E691" s="330"/>
    </row>
    <row r="692" spans="4:5" s="325" customFormat="1" x14ac:dyDescent="0.2">
      <c r="D692" s="330"/>
      <c r="E692" s="330"/>
    </row>
    <row r="693" spans="4:5" s="325" customFormat="1" x14ac:dyDescent="0.2">
      <c r="D693" s="330"/>
      <c r="E693" s="330"/>
    </row>
    <row r="694" spans="4:5" s="325" customFormat="1" x14ac:dyDescent="0.2">
      <c r="D694" s="330"/>
      <c r="E694" s="330"/>
    </row>
    <row r="695" spans="4:5" s="325" customFormat="1" x14ac:dyDescent="0.2">
      <c r="D695" s="330"/>
      <c r="E695" s="330"/>
    </row>
    <row r="696" spans="4:5" s="325" customFormat="1" x14ac:dyDescent="0.2">
      <c r="D696" s="330"/>
      <c r="E696" s="330"/>
    </row>
    <row r="697" spans="4:5" s="325" customFormat="1" x14ac:dyDescent="0.2">
      <c r="D697" s="330"/>
      <c r="E697" s="330"/>
    </row>
    <row r="698" spans="4:5" s="325" customFormat="1" x14ac:dyDescent="0.2">
      <c r="D698" s="330"/>
      <c r="E698" s="330"/>
    </row>
    <row r="699" spans="4:5" s="325" customFormat="1" x14ac:dyDescent="0.2">
      <c r="D699" s="330"/>
      <c r="E699" s="330"/>
    </row>
    <row r="700" spans="4:5" s="325" customFormat="1" x14ac:dyDescent="0.2">
      <c r="D700" s="330"/>
      <c r="E700" s="330"/>
    </row>
    <row r="701" spans="4:5" s="325" customFormat="1" x14ac:dyDescent="0.2">
      <c r="D701" s="330"/>
      <c r="E701" s="330"/>
    </row>
    <row r="702" spans="4:5" s="325" customFormat="1" x14ac:dyDescent="0.2">
      <c r="D702" s="330"/>
      <c r="E702" s="330"/>
    </row>
    <row r="703" spans="4:5" s="325" customFormat="1" x14ac:dyDescent="0.2">
      <c r="D703" s="330"/>
      <c r="E703" s="330"/>
    </row>
    <row r="704" spans="4:5" s="325" customFormat="1" x14ac:dyDescent="0.2">
      <c r="D704" s="330"/>
      <c r="E704" s="330"/>
    </row>
    <row r="705" spans="4:5" s="325" customFormat="1" x14ac:dyDescent="0.2">
      <c r="D705" s="330"/>
      <c r="E705" s="330"/>
    </row>
    <row r="706" spans="4:5" s="325" customFormat="1" x14ac:dyDescent="0.2">
      <c r="D706" s="330"/>
      <c r="E706" s="330"/>
    </row>
    <row r="707" spans="4:5" s="325" customFormat="1" x14ac:dyDescent="0.2">
      <c r="D707" s="330"/>
      <c r="E707" s="330"/>
    </row>
    <row r="708" spans="4:5" s="325" customFormat="1" x14ac:dyDescent="0.2">
      <c r="D708" s="330"/>
      <c r="E708" s="330"/>
    </row>
    <row r="709" spans="4:5" s="325" customFormat="1" x14ac:dyDescent="0.2">
      <c r="D709" s="330"/>
      <c r="E709" s="330"/>
    </row>
    <row r="710" spans="4:5" s="325" customFormat="1" x14ac:dyDescent="0.2">
      <c r="D710" s="330"/>
      <c r="E710" s="330"/>
    </row>
    <row r="711" spans="4:5" s="325" customFormat="1" x14ac:dyDescent="0.2">
      <c r="D711" s="330"/>
      <c r="E711" s="330"/>
    </row>
    <row r="712" spans="4:5" s="325" customFormat="1" x14ac:dyDescent="0.2">
      <c r="D712" s="330"/>
      <c r="E712" s="330"/>
    </row>
    <row r="713" spans="4:5" s="325" customFormat="1" x14ac:dyDescent="0.2">
      <c r="D713" s="330"/>
      <c r="E713" s="330"/>
    </row>
    <row r="714" spans="4:5" s="325" customFormat="1" x14ac:dyDescent="0.2">
      <c r="D714" s="330"/>
      <c r="E714" s="330"/>
    </row>
    <row r="715" spans="4:5" s="325" customFormat="1" x14ac:dyDescent="0.2">
      <c r="D715" s="330"/>
      <c r="E715" s="330"/>
    </row>
    <row r="716" spans="4:5" s="325" customFormat="1" x14ac:dyDescent="0.2">
      <c r="D716" s="330"/>
      <c r="E716" s="330"/>
    </row>
    <row r="717" spans="4:5" s="325" customFormat="1" x14ac:dyDescent="0.2">
      <c r="D717" s="330"/>
      <c r="E717" s="330"/>
    </row>
    <row r="718" spans="4:5" s="325" customFormat="1" x14ac:dyDescent="0.2">
      <c r="D718" s="330"/>
      <c r="E718" s="330"/>
    </row>
    <row r="719" spans="4:5" s="325" customFormat="1" x14ac:dyDescent="0.2">
      <c r="D719" s="330"/>
      <c r="E719" s="330"/>
    </row>
    <row r="720" spans="4:5" s="325" customFormat="1" x14ac:dyDescent="0.2">
      <c r="D720" s="330"/>
      <c r="E720" s="330"/>
    </row>
    <row r="721" spans="4:5" s="325" customFormat="1" x14ac:dyDescent="0.2">
      <c r="D721" s="330"/>
      <c r="E721" s="330"/>
    </row>
    <row r="722" spans="4:5" s="325" customFormat="1" x14ac:dyDescent="0.2">
      <c r="D722" s="330"/>
      <c r="E722" s="330"/>
    </row>
    <row r="723" spans="4:5" s="325" customFormat="1" x14ac:dyDescent="0.2">
      <c r="D723" s="330"/>
      <c r="E723" s="330"/>
    </row>
    <row r="724" spans="4:5" s="325" customFormat="1" x14ac:dyDescent="0.2">
      <c r="D724" s="330"/>
      <c r="E724" s="330"/>
    </row>
    <row r="725" spans="4:5" s="325" customFormat="1" x14ac:dyDescent="0.2">
      <c r="D725" s="330"/>
      <c r="E725" s="330"/>
    </row>
    <row r="726" spans="4:5" s="325" customFormat="1" x14ac:dyDescent="0.2">
      <c r="D726" s="330"/>
      <c r="E726" s="330"/>
    </row>
    <row r="727" spans="4:5" s="325" customFormat="1" x14ac:dyDescent="0.2">
      <c r="D727" s="330"/>
      <c r="E727" s="330"/>
    </row>
    <row r="728" spans="4:5" s="325" customFormat="1" x14ac:dyDescent="0.2">
      <c r="D728" s="330"/>
      <c r="E728" s="330"/>
    </row>
    <row r="729" spans="4:5" s="325" customFormat="1" x14ac:dyDescent="0.2">
      <c r="D729" s="330"/>
      <c r="E729" s="330"/>
    </row>
    <row r="730" spans="4:5" s="325" customFormat="1" x14ac:dyDescent="0.2">
      <c r="D730" s="330"/>
      <c r="E730" s="330"/>
    </row>
    <row r="731" spans="4:5" s="325" customFormat="1" x14ac:dyDescent="0.2">
      <c r="D731" s="330"/>
      <c r="E731" s="330"/>
    </row>
    <row r="732" spans="4:5" s="325" customFormat="1" x14ac:dyDescent="0.2">
      <c r="D732" s="330"/>
      <c r="E732" s="330"/>
    </row>
    <row r="733" spans="4:5" s="325" customFormat="1" x14ac:dyDescent="0.2">
      <c r="D733" s="330"/>
      <c r="E733" s="330"/>
    </row>
    <row r="734" spans="4:5" s="325" customFormat="1" x14ac:dyDescent="0.2">
      <c r="D734" s="330"/>
      <c r="E734" s="330"/>
    </row>
    <row r="735" spans="4:5" s="325" customFormat="1" x14ac:dyDescent="0.2">
      <c r="D735" s="330"/>
      <c r="E735" s="330"/>
    </row>
    <row r="736" spans="4:5" s="325" customFormat="1" x14ac:dyDescent="0.2">
      <c r="D736" s="330"/>
      <c r="E736" s="330"/>
    </row>
    <row r="737" spans="4:5" s="325" customFormat="1" x14ac:dyDescent="0.2">
      <c r="D737" s="330"/>
      <c r="E737" s="330"/>
    </row>
    <row r="738" spans="4:5" s="325" customFormat="1" x14ac:dyDescent="0.2">
      <c r="D738" s="330"/>
      <c r="E738" s="330"/>
    </row>
    <row r="739" spans="4:5" s="325" customFormat="1" x14ac:dyDescent="0.2">
      <c r="D739" s="330"/>
      <c r="E739" s="330"/>
    </row>
    <row r="740" spans="4:5" s="325" customFormat="1" x14ac:dyDescent="0.2">
      <c r="D740" s="330"/>
      <c r="E740" s="330"/>
    </row>
    <row r="741" spans="4:5" s="325" customFormat="1" x14ac:dyDescent="0.2">
      <c r="D741" s="330"/>
      <c r="E741" s="330"/>
    </row>
    <row r="742" spans="4:5" s="325" customFormat="1" x14ac:dyDescent="0.2">
      <c r="D742" s="330"/>
      <c r="E742" s="330"/>
    </row>
    <row r="743" spans="4:5" s="325" customFormat="1" x14ac:dyDescent="0.2">
      <c r="D743" s="330"/>
      <c r="E743" s="330"/>
    </row>
    <row r="744" spans="4:5" s="325" customFormat="1" x14ac:dyDescent="0.2">
      <c r="D744" s="330"/>
      <c r="E744" s="330"/>
    </row>
    <row r="745" spans="4:5" s="325" customFormat="1" x14ac:dyDescent="0.2">
      <c r="D745" s="330"/>
      <c r="E745" s="330"/>
    </row>
    <row r="746" spans="4:5" s="325" customFormat="1" x14ac:dyDescent="0.2">
      <c r="D746" s="330"/>
      <c r="E746" s="330"/>
    </row>
    <row r="747" spans="4:5" s="325" customFormat="1" x14ac:dyDescent="0.2">
      <c r="D747" s="330"/>
      <c r="E747" s="330"/>
    </row>
    <row r="748" spans="4:5" s="325" customFormat="1" x14ac:dyDescent="0.2">
      <c r="D748" s="330"/>
      <c r="E748" s="330"/>
    </row>
    <row r="749" spans="4:5" s="325" customFormat="1" x14ac:dyDescent="0.2">
      <c r="D749" s="330"/>
      <c r="E749" s="330"/>
    </row>
    <row r="750" spans="4:5" s="325" customFormat="1" x14ac:dyDescent="0.2">
      <c r="D750" s="330"/>
      <c r="E750" s="330"/>
    </row>
    <row r="751" spans="4:5" s="325" customFormat="1" x14ac:dyDescent="0.2">
      <c r="D751" s="330"/>
      <c r="E751" s="330"/>
    </row>
    <row r="752" spans="4:5" s="325" customFormat="1" x14ac:dyDescent="0.2">
      <c r="D752" s="330"/>
      <c r="E752" s="330"/>
    </row>
    <row r="753" spans="4:5" s="325" customFormat="1" x14ac:dyDescent="0.2">
      <c r="D753" s="330"/>
      <c r="E753" s="330"/>
    </row>
    <row r="754" spans="4:5" s="325" customFormat="1" x14ac:dyDescent="0.2">
      <c r="D754" s="330"/>
      <c r="E754" s="330"/>
    </row>
    <row r="755" spans="4:5" s="325" customFormat="1" x14ac:dyDescent="0.2">
      <c r="D755" s="330"/>
      <c r="E755" s="330"/>
    </row>
    <row r="756" spans="4:5" s="325" customFormat="1" x14ac:dyDescent="0.2">
      <c r="D756" s="330"/>
      <c r="E756" s="330"/>
    </row>
    <row r="757" spans="4:5" s="325" customFormat="1" x14ac:dyDescent="0.2">
      <c r="D757" s="330"/>
      <c r="E757" s="330"/>
    </row>
    <row r="758" spans="4:5" s="325" customFormat="1" x14ac:dyDescent="0.2">
      <c r="D758" s="330"/>
      <c r="E758" s="330"/>
    </row>
    <row r="759" spans="4:5" s="325" customFormat="1" x14ac:dyDescent="0.2">
      <c r="D759" s="330"/>
      <c r="E759" s="330"/>
    </row>
    <row r="760" spans="4:5" s="325" customFormat="1" x14ac:dyDescent="0.2">
      <c r="D760" s="330"/>
      <c r="E760" s="330"/>
    </row>
    <row r="761" spans="4:5" s="325" customFormat="1" x14ac:dyDescent="0.2">
      <c r="D761" s="330"/>
      <c r="E761" s="330"/>
    </row>
    <row r="762" spans="4:5" s="325" customFormat="1" x14ac:dyDescent="0.2">
      <c r="D762" s="330"/>
      <c r="E762" s="330"/>
    </row>
    <row r="763" spans="4:5" s="325" customFormat="1" x14ac:dyDescent="0.2">
      <c r="D763" s="330"/>
      <c r="E763" s="330"/>
    </row>
    <row r="764" spans="4:5" s="325" customFormat="1" x14ac:dyDescent="0.2">
      <c r="D764" s="330"/>
      <c r="E764" s="330"/>
    </row>
    <row r="765" spans="4:5" s="325" customFormat="1" x14ac:dyDescent="0.2">
      <c r="D765" s="330"/>
      <c r="E765" s="330"/>
    </row>
    <row r="766" spans="4:5" s="325" customFormat="1" x14ac:dyDescent="0.2">
      <c r="D766" s="330"/>
      <c r="E766" s="330"/>
    </row>
    <row r="767" spans="4:5" s="325" customFormat="1" x14ac:dyDescent="0.2">
      <c r="D767" s="330"/>
      <c r="E767" s="330"/>
    </row>
    <row r="768" spans="4:5" s="325" customFormat="1" x14ac:dyDescent="0.2">
      <c r="D768" s="330"/>
      <c r="E768" s="330"/>
    </row>
    <row r="769" spans="4:5" s="325" customFormat="1" x14ac:dyDescent="0.2">
      <c r="D769" s="330"/>
      <c r="E769" s="330"/>
    </row>
    <row r="770" spans="4:5" s="325" customFormat="1" x14ac:dyDescent="0.2">
      <c r="D770" s="330"/>
      <c r="E770" s="330"/>
    </row>
    <row r="771" spans="4:5" s="325" customFormat="1" x14ac:dyDescent="0.2">
      <c r="D771" s="330"/>
      <c r="E771" s="330"/>
    </row>
    <row r="772" spans="4:5" s="325" customFormat="1" x14ac:dyDescent="0.2">
      <c r="D772" s="330"/>
      <c r="E772" s="330"/>
    </row>
    <row r="773" spans="4:5" s="325" customFormat="1" x14ac:dyDescent="0.2">
      <c r="D773" s="330"/>
      <c r="E773" s="330"/>
    </row>
    <row r="774" spans="4:5" s="325" customFormat="1" x14ac:dyDescent="0.2">
      <c r="D774" s="330"/>
      <c r="E774" s="330"/>
    </row>
    <row r="775" spans="4:5" s="325" customFormat="1" x14ac:dyDescent="0.2">
      <c r="D775" s="330"/>
      <c r="E775" s="330"/>
    </row>
    <row r="776" spans="4:5" s="325" customFormat="1" x14ac:dyDescent="0.2">
      <c r="D776" s="330"/>
      <c r="E776" s="330"/>
    </row>
    <row r="777" spans="4:5" s="325" customFormat="1" x14ac:dyDescent="0.2">
      <c r="D777" s="330"/>
      <c r="E777" s="330"/>
    </row>
    <row r="778" spans="4:5" s="325" customFormat="1" x14ac:dyDescent="0.2">
      <c r="D778" s="330"/>
      <c r="E778" s="330"/>
    </row>
    <row r="779" spans="4:5" s="325" customFormat="1" x14ac:dyDescent="0.2">
      <c r="D779" s="330"/>
      <c r="E779" s="330"/>
    </row>
    <row r="780" spans="4:5" s="325" customFormat="1" x14ac:dyDescent="0.2">
      <c r="D780" s="330"/>
      <c r="E780" s="330"/>
    </row>
    <row r="781" spans="4:5" s="325" customFormat="1" x14ac:dyDescent="0.2">
      <c r="D781" s="330"/>
      <c r="E781" s="330"/>
    </row>
    <row r="782" spans="4:5" s="325" customFormat="1" x14ac:dyDescent="0.2">
      <c r="D782" s="330"/>
      <c r="E782" s="330"/>
    </row>
    <row r="783" spans="4:5" s="325" customFormat="1" x14ac:dyDescent="0.2">
      <c r="D783" s="330"/>
      <c r="E783" s="330"/>
    </row>
    <row r="784" spans="4:5" s="325" customFormat="1" x14ac:dyDescent="0.2">
      <c r="D784" s="330"/>
      <c r="E784" s="330"/>
    </row>
    <row r="785" spans="4:5" s="325" customFormat="1" x14ac:dyDescent="0.2">
      <c r="D785" s="330"/>
      <c r="E785" s="330"/>
    </row>
    <row r="786" spans="4:5" s="325" customFormat="1" x14ac:dyDescent="0.2">
      <c r="D786" s="330"/>
      <c r="E786" s="330"/>
    </row>
    <row r="787" spans="4:5" s="325" customFormat="1" x14ac:dyDescent="0.2">
      <c r="D787" s="330"/>
      <c r="E787" s="330"/>
    </row>
    <row r="788" spans="4:5" s="325" customFormat="1" x14ac:dyDescent="0.2">
      <c r="D788" s="330"/>
      <c r="E788" s="330"/>
    </row>
    <row r="789" spans="4:5" s="325" customFormat="1" x14ac:dyDescent="0.2">
      <c r="D789" s="330"/>
      <c r="E789" s="330"/>
    </row>
    <row r="790" spans="4:5" s="325" customFormat="1" x14ac:dyDescent="0.2">
      <c r="D790" s="330"/>
      <c r="E790" s="330"/>
    </row>
    <row r="791" spans="4:5" s="325" customFormat="1" x14ac:dyDescent="0.2">
      <c r="D791" s="330"/>
      <c r="E791" s="330"/>
    </row>
    <row r="792" spans="4:5" s="325" customFormat="1" x14ac:dyDescent="0.2">
      <c r="D792" s="330"/>
      <c r="E792" s="330"/>
    </row>
    <row r="793" spans="4:5" s="325" customFormat="1" x14ac:dyDescent="0.2">
      <c r="D793" s="330"/>
      <c r="E793" s="330"/>
    </row>
    <row r="794" spans="4:5" s="325" customFormat="1" x14ac:dyDescent="0.2">
      <c r="D794" s="330"/>
      <c r="E794" s="330"/>
    </row>
    <row r="795" spans="4:5" s="325" customFormat="1" x14ac:dyDescent="0.2">
      <c r="D795" s="330"/>
      <c r="E795" s="330"/>
    </row>
    <row r="796" spans="4:5" s="325" customFormat="1" x14ac:dyDescent="0.2">
      <c r="D796" s="330"/>
      <c r="E796" s="330"/>
    </row>
    <row r="797" spans="4:5" s="325" customFormat="1" x14ac:dyDescent="0.2">
      <c r="D797" s="330"/>
      <c r="E797" s="330"/>
    </row>
    <row r="798" spans="4:5" s="325" customFormat="1" x14ac:dyDescent="0.2">
      <c r="D798" s="330"/>
      <c r="E798" s="330"/>
    </row>
    <row r="799" spans="4:5" s="325" customFormat="1" x14ac:dyDescent="0.2">
      <c r="D799" s="330"/>
      <c r="E799" s="330"/>
    </row>
    <row r="800" spans="4:5" s="325" customFormat="1" x14ac:dyDescent="0.2">
      <c r="D800" s="330"/>
      <c r="E800" s="330"/>
    </row>
    <row r="801" spans="4:5" s="325" customFormat="1" x14ac:dyDescent="0.2">
      <c r="D801" s="330"/>
      <c r="E801" s="330"/>
    </row>
    <row r="802" spans="4:5" s="325" customFormat="1" x14ac:dyDescent="0.2">
      <c r="D802" s="330"/>
      <c r="E802" s="330"/>
    </row>
    <row r="803" spans="4:5" s="325" customFormat="1" x14ac:dyDescent="0.2">
      <c r="D803" s="330"/>
      <c r="E803" s="330"/>
    </row>
    <row r="804" spans="4:5" s="325" customFormat="1" x14ac:dyDescent="0.2">
      <c r="D804" s="330"/>
      <c r="E804" s="330"/>
    </row>
    <row r="805" spans="4:5" s="325" customFormat="1" x14ac:dyDescent="0.2">
      <c r="D805" s="330"/>
      <c r="E805" s="330"/>
    </row>
    <row r="806" spans="4:5" s="325" customFormat="1" x14ac:dyDescent="0.2">
      <c r="D806" s="330"/>
      <c r="E806" s="330"/>
    </row>
    <row r="807" spans="4:5" s="325" customFormat="1" x14ac:dyDescent="0.2">
      <c r="D807" s="330"/>
      <c r="E807" s="330"/>
    </row>
    <row r="808" spans="4:5" s="325" customFormat="1" x14ac:dyDescent="0.2">
      <c r="D808" s="330"/>
      <c r="E808" s="330"/>
    </row>
    <row r="809" spans="4:5" s="325" customFormat="1" x14ac:dyDescent="0.2">
      <c r="D809" s="330"/>
      <c r="E809" s="330"/>
    </row>
    <row r="810" spans="4:5" s="325" customFormat="1" x14ac:dyDescent="0.2">
      <c r="D810" s="330"/>
      <c r="E810" s="330"/>
    </row>
    <row r="811" spans="4:5" s="325" customFormat="1" x14ac:dyDescent="0.2">
      <c r="D811" s="330"/>
      <c r="E811" s="330"/>
    </row>
    <row r="812" spans="4:5" s="325" customFormat="1" x14ac:dyDescent="0.2">
      <c r="D812" s="330"/>
      <c r="E812" s="330"/>
    </row>
    <row r="813" spans="4:5" s="325" customFormat="1" x14ac:dyDescent="0.2">
      <c r="D813" s="330"/>
      <c r="E813" s="330"/>
    </row>
    <row r="814" spans="4:5" s="325" customFormat="1" x14ac:dyDescent="0.2">
      <c r="D814" s="330"/>
      <c r="E814" s="330"/>
    </row>
    <row r="815" spans="4:5" s="325" customFormat="1" x14ac:dyDescent="0.2">
      <c r="D815" s="330"/>
      <c r="E815" s="330"/>
    </row>
    <row r="816" spans="4:5" s="325" customFormat="1" x14ac:dyDescent="0.2">
      <c r="D816" s="330"/>
      <c r="E816" s="330"/>
    </row>
    <row r="817" spans="4:5" s="325" customFormat="1" x14ac:dyDescent="0.2">
      <c r="D817" s="330"/>
      <c r="E817" s="330"/>
    </row>
    <row r="818" spans="4:5" s="325" customFormat="1" x14ac:dyDescent="0.2">
      <c r="D818" s="330"/>
      <c r="E818" s="330"/>
    </row>
    <row r="819" spans="4:5" s="325" customFormat="1" x14ac:dyDescent="0.2">
      <c r="D819" s="330"/>
      <c r="E819" s="330"/>
    </row>
    <row r="820" spans="4:5" s="325" customFormat="1" x14ac:dyDescent="0.2">
      <c r="D820" s="330"/>
      <c r="E820" s="330"/>
    </row>
    <row r="821" spans="4:5" s="325" customFormat="1" x14ac:dyDescent="0.2">
      <c r="D821" s="330"/>
      <c r="E821" s="330"/>
    </row>
    <row r="822" spans="4:5" s="325" customFormat="1" x14ac:dyDescent="0.2">
      <c r="D822" s="330"/>
      <c r="E822" s="330"/>
    </row>
    <row r="823" spans="4:5" s="325" customFormat="1" x14ac:dyDescent="0.2">
      <c r="D823" s="330"/>
      <c r="E823" s="330"/>
    </row>
    <row r="824" spans="4:5" s="325" customFormat="1" x14ac:dyDescent="0.2">
      <c r="D824" s="330"/>
      <c r="E824" s="330"/>
    </row>
    <row r="825" spans="4:5" s="325" customFormat="1" x14ac:dyDescent="0.2">
      <c r="D825" s="330"/>
      <c r="E825" s="330"/>
    </row>
    <row r="826" spans="4:5" s="325" customFormat="1" x14ac:dyDescent="0.2">
      <c r="D826" s="330"/>
      <c r="E826" s="330"/>
    </row>
    <row r="827" spans="4:5" s="325" customFormat="1" x14ac:dyDescent="0.2">
      <c r="D827" s="330"/>
      <c r="E827" s="330"/>
    </row>
    <row r="828" spans="4:5" s="325" customFormat="1" x14ac:dyDescent="0.2">
      <c r="D828" s="330"/>
      <c r="E828" s="330"/>
    </row>
    <row r="829" spans="4:5" s="325" customFormat="1" x14ac:dyDescent="0.2">
      <c r="D829" s="330"/>
      <c r="E829" s="330"/>
    </row>
    <row r="830" spans="4:5" s="325" customFormat="1" x14ac:dyDescent="0.2">
      <c r="D830" s="330"/>
      <c r="E830" s="330"/>
    </row>
    <row r="831" spans="4:5" s="325" customFormat="1" x14ac:dyDescent="0.2">
      <c r="D831" s="330"/>
      <c r="E831" s="330"/>
    </row>
    <row r="832" spans="4:5" s="325" customFormat="1" x14ac:dyDescent="0.2">
      <c r="D832" s="330"/>
      <c r="E832" s="330"/>
    </row>
    <row r="833" spans="4:5" s="325" customFormat="1" x14ac:dyDescent="0.2">
      <c r="D833" s="330"/>
      <c r="E833" s="330"/>
    </row>
    <row r="834" spans="4:5" s="325" customFormat="1" x14ac:dyDescent="0.2">
      <c r="D834" s="330"/>
      <c r="E834" s="330"/>
    </row>
    <row r="835" spans="4:5" s="325" customFormat="1" x14ac:dyDescent="0.2">
      <c r="D835" s="330"/>
      <c r="E835" s="330"/>
    </row>
    <row r="836" spans="4:5" s="325" customFormat="1" x14ac:dyDescent="0.2">
      <c r="D836" s="330"/>
      <c r="E836" s="330"/>
    </row>
    <row r="837" spans="4:5" s="325" customFormat="1" x14ac:dyDescent="0.2">
      <c r="D837" s="330"/>
      <c r="E837" s="330"/>
    </row>
    <row r="838" spans="4:5" s="325" customFormat="1" x14ac:dyDescent="0.2">
      <c r="D838" s="330"/>
      <c r="E838" s="330"/>
    </row>
    <row r="839" spans="4:5" s="325" customFormat="1" x14ac:dyDescent="0.2">
      <c r="D839" s="330"/>
      <c r="E839" s="330"/>
    </row>
    <row r="840" spans="4:5" s="325" customFormat="1" x14ac:dyDescent="0.2">
      <c r="D840" s="330"/>
      <c r="E840" s="330"/>
    </row>
    <row r="841" spans="4:5" s="325" customFormat="1" x14ac:dyDescent="0.2">
      <c r="D841" s="330"/>
      <c r="E841" s="330"/>
    </row>
    <row r="842" spans="4:5" s="325" customFormat="1" x14ac:dyDescent="0.2">
      <c r="D842" s="330"/>
      <c r="E842" s="330"/>
    </row>
    <row r="843" spans="4:5" s="325" customFormat="1" x14ac:dyDescent="0.2">
      <c r="D843" s="330"/>
      <c r="E843" s="330"/>
    </row>
    <row r="844" spans="4:5" s="325" customFormat="1" x14ac:dyDescent="0.2">
      <c r="D844" s="330"/>
      <c r="E844" s="330"/>
    </row>
    <row r="845" spans="4:5" s="325" customFormat="1" x14ac:dyDescent="0.2">
      <c r="D845" s="330"/>
      <c r="E845" s="330"/>
    </row>
    <row r="846" spans="4:5" s="325" customFormat="1" x14ac:dyDescent="0.2">
      <c r="D846" s="330"/>
      <c r="E846" s="330"/>
    </row>
    <row r="847" spans="4:5" s="325" customFormat="1" x14ac:dyDescent="0.2">
      <c r="D847" s="330"/>
      <c r="E847" s="330"/>
    </row>
    <row r="848" spans="4:5" s="325" customFormat="1" x14ac:dyDescent="0.2">
      <c r="D848" s="330"/>
      <c r="E848" s="330"/>
    </row>
    <row r="849" spans="4:5" s="325" customFormat="1" x14ac:dyDescent="0.2">
      <c r="D849" s="330"/>
      <c r="E849" s="330"/>
    </row>
    <row r="850" spans="4:5" s="325" customFormat="1" x14ac:dyDescent="0.2">
      <c r="D850" s="330"/>
      <c r="E850" s="330"/>
    </row>
    <row r="851" spans="4:5" s="325" customFormat="1" x14ac:dyDescent="0.2">
      <c r="D851" s="330"/>
      <c r="E851" s="330"/>
    </row>
    <row r="852" spans="4:5" s="325" customFormat="1" x14ac:dyDescent="0.2">
      <c r="D852" s="330"/>
      <c r="E852" s="330"/>
    </row>
    <row r="853" spans="4:5" s="325" customFormat="1" x14ac:dyDescent="0.2">
      <c r="D853" s="330"/>
      <c r="E853" s="330"/>
    </row>
    <row r="854" spans="4:5" s="325" customFormat="1" x14ac:dyDescent="0.2">
      <c r="D854" s="330"/>
      <c r="E854" s="330"/>
    </row>
    <row r="855" spans="4:5" s="325" customFormat="1" x14ac:dyDescent="0.2">
      <c r="D855" s="330"/>
      <c r="E855" s="330"/>
    </row>
    <row r="856" spans="4:5" s="325" customFormat="1" x14ac:dyDescent="0.2">
      <c r="D856" s="330"/>
      <c r="E856" s="330"/>
    </row>
    <row r="857" spans="4:5" s="325" customFormat="1" x14ac:dyDescent="0.2">
      <c r="D857" s="330"/>
      <c r="E857" s="330"/>
    </row>
    <row r="858" spans="4:5" s="325" customFormat="1" x14ac:dyDescent="0.2">
      <c r="D858" s="330"/>
      <c r="E858" s="330"/>
    </row>
    <row r="859" spans="4:5" s="325" customFormat="1" x14ac:dyDescent="0.2">
      <c r="D859" s="330"/>
      <c r="E859" s="330"/>
    </row>
    <row r="860" spans="4:5" s="325" customFormat="1" x14ac:dyDescent="0.2">
      <c r="D860" s="330"/>
      <c r="E860" s="330"/>
    </row>
    <row r="861" spans="4:5" s="325" customFormat="1" x14ac:dyDescent="0.2">
      <c r="D861" s="330"/>
      <c r="E861" s="330"/>
    </row>
    <row r="862" spans="4:5" s="325" customFormat="1" x14ac:dyDescent="0.2">
      <c r="D862" s="330"/>
      <c r="E862" s="330"/>
    </row>
    <row r="863" spans="4:5" s="325" customFormat="1" x14ac:dyDescent="0.2">
      <c r="D863" s="330"/>
      <c r="E863" s="330"/>
    </row>
    <row r="864" spans="4:5" s="325" customFormat="1" x14ac:dyDescent="0.2">
      <c r="D864" s="330"/>
      <c r="E864" s="330"/>
    </row>
    <row r="865" spans="4:5" s="325" customFormat="1" x14ac:dyDescent="0.2">
      <c r="D865" s="330"/>
      <c r="E865" s="330"/>
    </row>
    <row r="866" spans="4:5" s="325" customFormat="1" x14ac:dyDescent="0.2">
      <c r="D866" s="330"/>
      <c r="E866" s="330"/>
    </row>
    <row r="867" spans="4:5" s="325" customFormat="1" x14ac:dyDescent="0.2">
      <c r="D867" s="330"/>
      <c r="E867" s="330"/>
    </row>
    <row r="868" spans="4:5" s="325" customFormat="1" x14ac:dyDescent="0.2">
      <c r="D868" s="330"/>
      <c r="E868" s="330"/>
    </row>
    <row r="869" spans="4:5" s="325" customFormat="1" x14ac:dyDescent="0.2">
      <c r="D869" s="330"/>
      <c r="E869" s="330"/>
    </row>
    <row r="870" spans="4:5" s="325" customFormat="1" x14ac:dyDescent="0.2">
      <c r="D870" s="330"/>
      <c r="E870" s="330"/>
    </row>
    <row r="871" spans="4:5" s="325" customFormat="1" x14ac:dyDescent="0.2">
      <c r="D871" s="330"/>
      <c r="E871" s="330"/>
    </row>
    <row r="872" spans="4:5" s="325" customFormat="1" x14ac:dyDescent="0.2">
      <c r="D872" s="330"/>
      <c r="E872" s="330"/>
    </row>
    <row r="873" spans="4:5" s="325" customFormat="1" x14ac:dyDescent="0.2">
      <c r="D873" s="330"/>
      <c r="E873" s="330"/>
    </row>
    <row r="874" spans="4:5" s="325" customFormat="1" x14ac:dyDescent="0.2">
      <c r="D874" s="330"/>
      <c r="E874" s="330"/>
    </row>
    <row r="875" spans="4:5" s="325" customFormat="1" x14ac:dyDescent="0.2">
      <c r="D875" s="330"/>
      <c r="E875" s="330"/>
    </row>
    <row r="876" spans="4:5" s="325" customFormat="1" x14ac:dyDescent="0.2">
      <c r="D876" s="330"/>
      <c r="E876" s="330"/>
    </row>
    <row r="877" spans="4:5" s="325" customFormat="1" x14ac:dyDescent="0.2">
      <c r="D877" s="330"/>
      <c r="E877" s="330"/>
    </row>
    <row r="878" spans="4:5" s="325" customFormat="1" x14ac:dyDescent="0.2">
      <c r="D878" s="330"/>
      <c r="E878" s="330"/>
    </row>
    <row r="879" spans="4:5" s="325" customFormat="1" x14ac:dyDescent="0.2">
      <c r="D879" s="330"/>
      <c r="E879" s="330"/>
    </row>
    <row r="880" spans="4:5" s="325" customFormat="1" x14ac:dyDescent="0.2">
      <c r="D880" s="330"/>
      <c r="E880" s="330"/>
    </row>
    <row r="881" spans="4:5" s="325" customFormat="1" x14ac:dyDescent="0.2">
      <c r="D881" s="330"/>
      <c r="E881" s="330"/>
    </row>
    <row r="882" spans="4:5" s="325" customFormat="1" x14ac:dyDescent="0.2">
      <c r="D882" s="330"/>
      <c r="E882" s="330"/>
    </row>
    <row r="883" spans="4:5" s="325" customFormat="1" x14ac:dyDescent="0.2">
      <c r="D883" s="330"/>
      <c r="E883" s="330"/>
    </row>
    <row r="884" spans="4:5" s="325" customFormat="1" x14ac:dyDescent="0.2">
      <c r="D884" s="330"/>
      <c r="E884" s="330"/>
    </row>
    <row r="885" spans="4:5" s="325" customFormat="1" x14ac:dyDescent="0.2">
      <c r="D885" s="330"/>
      <c r="E885" s="330"/>
    </row>
    <row r="886" spans="4:5" s="325" customFormat="1" x14ac:dyDescent="0.2">
      <c r="D886" s="330"/>
      <c r="E886" s="330"/>
    </row>
    <row r="887" spans="4:5" s="325" customFormat="1" x14ac:dyDescent="0.2">
      <c r="D887" s="330"/>
      <c r="E887" s="330"/>
    </row>
    <row r="888" spans="4:5" s="325" customFormat="1" x14ac:dyDescent="0.2">
      <c r="D888" s="330"/>
      <c r="E888" s="330"/>
    </row>
    <row r="889" spans="4:5" s="325" customFormat="1" x14ac:dyDescent="0.2">
      <c r="D889" s="330"/>
      <c r="E889" s="330"/>
    </row>
    <row r="890" spans="4:5" s="325" customFormat="1" x14ac:dyDescent="0.2">
      <c r="D890" s="330"/>
      <c r="E890" s="330"/>
    </row>
    <row r="891" spans="4:5" s="325" customFormat="1" x14ac:dyDescent="0.2">
      <c r="D891" s="330"/>
      <c r="E891" s="330"/>
    </row>
    <row r="892" spans="4:5" s="325" customFormat="1" x14ac:dyDescent="0.2">
      <c r="D892" s="330"/>
      <c r="E892" s="330"/>
    </row>
    <row r="893" spans="4:5" s="325" customFormat="1" x14ac:dyDescent="0.2">
      <c r="D893" s="330"/>
      <c r="E893" s="330"/>
    </row>
    <row r="894" spans="4:5" s="325" customFormat="1" x14ac:dyDescent="0.2">
      <c r="D894" s="330"/>
      <c r="E894" s="330"/>
    </row>
    <row r="895" spans="4:5" s="325" customFormat="1" x14ac:dyDescent="0.2">
      <c r="D895" s="330"/>
      <c r="E895" s="330"/>
    </row>
    <row r="896" spans="4:5" s="325" customFormat="1" x14ac:dyDescent="0.2">
      <c r="D896" s="330"/>
      <c r="E896" s="330"/>
    </row>
    <row r="897" spans="4:5" s="325" customFormat="1" x14ac:dyDescent="0.2">
      <c r="D897" s="330"/>
      <c r="E897" s="330"/>
    </row>
    <row r="898" spans="4:5" s="325" customFormat="1" x14ac:dyDescent="0.2">
      <c r="D898" s="330"/>
      <c r="E898" s="330"/>
    </row>
    <row r="899" spans="4:5" s="325" customFormat="1" x14ac:dyDescent="0.2">
      <c r="D899" s="330"/>
      <c r="E899" s="330"/>
    </row>
    <row r="900" spans="4:5" s="325" customFormat="1" x14ac:dyDescent="0.2">
      <c r="D900" s="330"/>
      <c r="E900" s="330"/>
    </row>
    <row r="901" spans="4:5" s="325" customFormat="1" x14ac:dyDescent="0.2">
      <c r="D901" s="330"/>
      <c r="E901" s="330"/>
    </row>
    <row r="902" spans="4:5" s="325" customFormat="1" x14ac:dyDescent="0.2">
      <c r="D902" s="330"/>
      <c r="E902" s="330"/>
    </row>
    <row r="903" spans="4:5" s="325" customFormat="1" x14ac:dyDescent="0.2">
      <c r="D903" s="330"/>
      <c r="E903" s="330"/>
    </row>
    <row r="904" spans="4:5" s="325" customFormat="1" x14ac:dyDescent="0.2">
      <c r="D904" s="330"/>
      <c r="E904" s="330"/>
    </row>
    <row r="905" spans="4:5" s="325" customFormat="1" x14ac:dyDescent="0.2">
      <c r="D905" s="330"/>
      <c r="E905" s="330"/>
    </row>
    <row r="906" spans="4:5" s="325" customFormat="1" x14ac:dyDescent="0.2">
      <c r="D906" s="330"/>
      <c r="E906" s="330"/>
    </row>
    <row r="907" spans="4:5" s="325" customFormat="1" x14ac:dyDescent="0.2">
      <c r="D907" s="330"/>
      <c r="E907" s="330"/>
    </row>
    <row r="908" spans="4:5" s="325" customFormat="1" x14ac:dyDescent="0.2">
      <c r="D908" s="330"/>
      <c r="E908" s="330"/>
    </row>
    <row r="909" spans="4:5" s="325" customFormat="1" x14ac:dyDescent="0.2">
      <c r="D909" s="330"/>
      <c r="E909" s="330"/>
    </row>
    <row r="910" spans="4:5" s="325" customFormat="1" x14ac:dyDescent="0.2">
      <c r="D910" s="330"/>
      <c r="E910" s="330"/>
    </row>
    <row r="911" spans="4:5" s="325" customFormat="1" x14ac:dyDescent="0.2">
      <c r="D911" s="330"/>
      <c r="E911" s="330"/>
    </row>
    <row r="912" spans="4:5" s="325" customFormat="1" x14ac:dyDescent="0.2">
      <c r="D912" s="330"/>
      <c r="E912" s="330"/>
    </row>
    <row r="913" spans="4:5" s="325" customFormat="1" x14ac:dyDescent="0.2">
      <c r="D913" s="330"/>
      <c r="E913" s="330"/>
    </row>
    <row r="914" spans="4:5" s="325" customFormat="1" x14ac:dyDescent="0.2">
      <c r="D914" s="330"/>
      <c r="E914" s="330"/>
    </row>
    <row r="915" spans="4:5" s="325" customFormat="1" x14ac:dyDescent="0.2">
      <c r="D915" s="330"/>
      <c r="E915" s="330"/>
    </row>
    <row r="916" spans="4:5" s="325" customFormat="1" x14ac:dyDescent="0.2">
      <c r="D916" s="330"/>
      <c r="E916" s="330"/>
    </row>
    <row r="917" spans="4:5" s="325" customFormat="1" x14ac:dyDescent="0.2">
      <c r="D917" s="330"/>
      <c r="E917" s="330"/>
    </row>
    <row r="918" spans="4:5" s="325" customFormat="1" x14ac:dyDescent="0.2">
      <c r="D918" s="330"/>
      <c r="E918" s="330"/>
    </row>
    <row r="919" spans="4:5" s="325" customFormat="1" x14ac:dyDescent="0.2">
      <c r="D919" s="330"/>
      <c r="E919" s="330"/>
    </row>
    <row r="920" spans="4:5" s="325" customFormat="1" x14ac:dyDescent="0.2">
      <c r="D920" s="330"/>
      <c r="E920" s="330"/>
    </row>
    <row r="921" spans="4:5" s="325" customFormat="1" x14ac:dyDescent="0.2">
      <c r="D921" s="330"/>
      <c r="E921" s="330"/>
    </row>
    <row r="922" spans="4:5" s="325" customFormat="1" x14ac:dyDescent="0.2">
      <c r="D922" s="330"/>
      <c r="E922" s="330"/>
    </row>
    <row r="923" spans="4:5" s="325" customFormat="1" x14ac:dyDescent="0.2">
      <c r="D923" s="330"/>
      <c r="E923" s="330"/>
    </row>
    <row r="924" spans="4:5" s="325" customFormat="1" x14ac:dyDescent="0.2">
      <c r="D924" s="330"/>
      <c r="E924" s="330"/>
    </row>
    <row r="925" spans="4:5" s="325" customFormat="1" x14ac:dyDescent="0.2">
      <c r="D925" s="330"/>
      <c r="E925" s="330"/>
    </row>
    <row r="926" spans="4:5" s="325" customFormat="1" x14ac:dyDescent="0.2">
      <c r="D926" s="330"/>
      <c r="E926" s="330"/>
    </row>
    <row r="927" spans="4:5" s="325" customFormat="1" x14ac:dyDescent="0.2">
      <c r="D927" s="330"/>
      <c r="E927" s="330"/>
    </row>
    <row r="928" spans="4:5" s="325" customFormat="1" x14ac:dyDescent="0.2">
      <c r="D928" s="330"/>
      <c r="E928" s="330"/>
    </row>
    <row r="929" spans="4:5" s="325" customFormat="1" x14ac:dyDescent="0.2">
      <c r="D929" s="330"/>
      <c r="E929" s="330"/>
    </row>
    <row r="930" spans="4:5" s="325" customFormat="1" x14ac:dyDescent="0.2">
      <c r="D930" s="330"/>
      <c r="E930" s="330"/>
    </row>
    <row r="931" spans="4:5" s="325" customFormat="1" x14ac:dyDescent="0.2">
      <c r="D931" s="330"/>
      <c r="E931" s="330"/>
    </row>
    <row r="932" spans="4:5" s="325" customFormat="1" x14ac:dyDescent="0.2">
      <c r="D932" s="330"/>
      <c r="E932" s="330"/>
    </row>
    <row r="933" spans="4:5" s="325" customFormat="1" x14ac:dyDescent="0.2">
      <c r="D933" s="330"/>
      <c r="E933" s="330"/>
    </row>
    <row r="934" spans="4:5" s="325" customFormat="1" x14ac:dyDescent="0.2">
      <c r="D934" s="330"/>
      <c r="E934" s="330"/>
    </row>
    <row r="935" spans="4:5" s="325" customFormat="1" x14ac:dyDescent="0.2">
      <c r="D935" s="330"/>
      <c r="E935" s="330"/>
    </row>
    <row r="936" spans="4:5" s="325" customFormat="1" x14ac:dyDescent="0.2">
      <c r="D936" s="330"/>
      <c r="E936" s="330"/>
    </row>
    <row r="937" spans="4:5" s="325" customFormat="1" x14ac:dyDescent="0.2">
      <c r="D937" s="330"/>
      <c r="E937" s="330"/>
    </row>
    <row r="938" spans="4:5" s="325" customFormat="1" x14ac:dyDescent="0.2">
      <c r="D938" s="330"/>
      <c r="E938" s="330"/>
    </row>
    <row r="939" spans="4:5" s="325" customFormat="1" x14ac:dyDescent="0.2">
      <c r="D939" s="330"/>
      <c r="E939" s="330"/>
    </row>
    <row r="940" spans="4:5" s="325" customFormat="1" x14ac:dyDescent="0.2">
      <c r="D940" s="330"/>
      <c r="E940" s="330"/>
    </row>
    <row r="941" spans="4:5" s="325" customFormat="1" x14ac:dyDescent="0.2">
      <c r="D941" s="330"/>
      <c r="E941" s="330"/>
    </row>
    <row r="942" spans="4:5" s="325" customFormat="1" x14ac:dyDescent="0.2">
      <c r="D942" s="330"/>
      <c r="E942" s="330"/>
    </row>
    <row r="943" spans="4:5" s="325" customFormat="1" x14ac:dyDescent="0.2">
      <c r="D943" s="330"/>
      <c r="E943" s="330"/>
    </row>
    <row r="944" spans="4:5" s="325" customFormat="1" x14ac:dyDescent="0.2">
      <c r="D944" s="330"/>
      <c r="E944" s="330"/>
    </row>
    <row r="945" spans="4:5" s="325" customFormat="1" x14ac:dyDescent="0.2">
      <c r="D945" s="330"/>
      <c r="E945" s="330"/>
    </row>
    <row r="946" spans="4:5" s="325" customFormat="1" x14ac:dyDescent="0.2">
      <c r="D946" s="330"/>
      <c r="E946" s="330"/>
    </row>
    <row r="947" spans="4:5" s="325" customFormat="1" x14ac:dyDescent="0.2">
      <c r="D947" s="330"/>
      <c r="E947" s="330"/>
    </row>
    <row r="948" spans="4:5" s="325" customFormat="1" x14ac:dyDescent="0.2">
      <c r="D948" s="330"/>
      <c r="E948" s="330"/>
    </row>
    <row r="949" spans="4:5" s="325" customFormat="1" x14ac:dyDescent="0.2">
      <c r="D949" s="330"/>
      <c r="E949" s="330"/>
    </row>
    <row r="950" spans="4:5" s="325" customFormat="1" x14ac:dyDescent="0.2">
      <c r="D950" s="330"/>
      <c r="E950" s="330"/>
    </row>
    <row r="951" spans="4:5" s="325" customFormat="1" x14ac:dyDescent="0.2">
      <c r="D951" s="330"/>
      <c r="E951" s="330"/>
    </row>
    <row r="952" spans="4:5" s="325" customFormat="1" x14ac:dyDescent="0.2">
      <c r="D952" s="330"/>
      <c r="E952" s="330"/>
    </row>
    <row r="953" spans="4:5" s="325" customFormat="1" x14ac:dyDescent="0.2">
      <c r="D953" s="330"/>
      <c r="E953" s="330"/>
    </row>
    <row r="954" spans="4:5" s="325" customFormat="1" x14ac:dyDescent="0.2">
      <c r="D954" s="330"/>
      <c r="E954" s="330"/>
    </row>
    <row r="955" spans="4:5" s="325" customFormat="1" x14ac:dyDescent="0.2">
      <c r="D955" s="330"/>
      <c r="E955" s="330"/>
    </row>
    <row r="956" spans="4:5" s="325" customFormat="1" x14ac:dyDescent="0.2">
      <c r="D956" s="330"/>
      <c r="E956" s="330"/>
    </row>
    <row r="957" spans="4:5" s="325" customFormat="1" x14ac:dyDescent="0.2">
      <c r="D957" s="330"/>
      <c r="E957" s="330"/>
    </row>
    <row r="958" spans="4:5" s="325" customFormat="1" x14ac:dyDescent="0.2">
      <c r="D958" s="330"/>
      <c r="E958" s="330"/>
    </row>
    <row r="959" spans="4:5" s="325" customFormat="1" x14ac:dyDescent="0.2">
      <c r="D959" s="330"/>
      <c r="E959" s="330"/>
    </row>
    <row r="960" spans="4:5" s="325" customFormat="1" x14ac:dyDescent="0.2">
      <c r="D960" s="330"/>
      <c r="E960" s="330"/>
    </row>
    <row r="961" spans="4:5" s="325" customFormat="1" x14ac:dyDescent="0.2">
      <c r="D961" s="330"/>
      <c r="E961" s="330"/>
    </row>
    <row r="962" spans="4:5" s="325" customFormat="1" x14ac:dyDescent="0.2">
      <c r="D962" s="330"/>
      <c r="E962" s="330"/>
    </row>
    <row r="963" spans="4:5" s="325" customFormat="1" x14ac:dyDescent="0.2">
      <c r="D963" s="330"/>
      <c r="E963" s="330"/>
    </row>
    <row r="964" spans="4:5" s="325" customFormat="1" x14ac:dyDescent="0.2">
      <c r="D964" s="330"/>
      <c r="E964" s="330"/>
    </row>
    <row r="965" spans="4:5" s="325" customFormat="1" x14ac:dyDescent="0.2">
      <c r="D965" s="330"/>
      <c r="E965" s="330"/>
    </row>
    <row r="966" spans="4:5" s="325" customFormat="1" x14ac:dyDescent="0.2">
      <c r="D966" s="330"/>
      <c r="E966" s="330"/>
    </row>
    <row r="967" spans="4:5" s="325" customFormat="1" x14ac:dyDescent="0.2">
      <c r="D967" s="330"/>
      <c r="E967" s="330"/>
    </row>
    <row r="968" spans="4:5" s="325" customFormat="1" x14ac:dyDescent="0.2">
      <c r="D968" s="330"/>
      <c r="E968" s="330"/>
    </row>
    <row r="969" spans="4:5" s="325" customFormat="1" x14ac:dyDescent="0.2">
      <c r="D969" s="330"/>
      <c r="E969" s="330"/>
    </row>
    <row r="970" spans="4:5" s="325" customFormat="1" x14ac:dyDescent="0.2">
      <c r="D970" s="330"/>
      <c r="E970" s="330"/>
    </row>
    <row r="971" spans="4:5" s="325" customFormat="1" x14ac:dyDescent="0.2">
      <c r="D971" s="330"/>
      <c r="E971" s="330"/>
    </row>
    <row r="972" spans="4:5" s="325" customFormat="1" x14ac:dyDescent="0.2">
      <c r="D972" s="330"/>
      <c r="E972" s="330"/>
    </row>
    <row r="973" spans="4:5" s="325" customFormat="1" x14ac:dyDescent="0.2">
      <c r="D973" s="330"/>
      <c r="E973" s="330"/>
    </row>
    <row r="974" spans="4:5" s="325" customFormat="1" x14ac:dyDescent="0.2">
      <c r="D974" s="330"/>
      <c r="E974" s="330"/>
    </row>
    <row r="975" spans="4:5" s="325" customFormat="1" x14ac:dyDescent="0.2">
      <c r="D975" s="330"/>
      <c r="E975" s="330"/>
    </row>
    <row r="976" spans="4:5" s="325" customFormat="1" x14ac:dyDescent="0.2">
      <c r="D976" s="330"/>
      <c r="E976" s="330"/>
    </row>
    <row r="977" spans="4:5" s="325" customFormat="1" x14ac:dyDescent="0.2">
      <c r="D977" s="330"/>
      <c r="E977" s="330"/>
    </row>
    <row r="978" spans="4:5" s="325" customFormat="1" x14ac:dyDescent="0.2">
      <c r="D978" s="330"/>
      <c r="E978" s="330"/>
    </row>
    <row r="979" spans="4:5" s="325" customFormat="1" x14ac:dyDescent="0.2">
      <c r="D979" s="330"/>
      <c r="E979" s="330"/>
    </row>
    <row r="980" spans="4:5" s="325" customFormat="1" x14ac:dyDescent="0.2">
      <c r="D980" s="330"/>
      <c r="E980" s="330"/>
    </row>
    <row r="981" spans="4:5" s="325" customFormat="1" x14ac:dyDescent="0.2">
      <c r="D981" s="330"/>
      <c r="E981" s="330"/>
    </row>
    <row r="982" spans="4:5" s="325" customFormat="1" x14ac:dyDescent="0.2">
      <c r="D982" s="330"/>
      <c r="E982" s="330"/>
    </row>
    <row r="983" spans="4:5" s="325" customFormat="1" x14ac:dyDescent="0.2">
      <c r="D983" s="330"/>
      <c r="E983" s="330"/>
    </row>
    <row r="984" spans="4:5" s="325" customFormat="1" x14ac:dyDescent="0.2">
      <c r="D984" s="330"/>
      <c r="E984" s="330"/>
    </row>
    <row r="985" spans="4:5" s="325" customFormat="1" x14ac:dyDescent="0.2">
      <c r="D985" s="330"/>
      <c r="E985" s="330"/>
    </row>
    <row r="986" spans="4:5" s="325" customFormat="1" x14ac:dyDescent="0.2">
      <c r="D986" s="330"/>
      <c r="E986" s="330"/>
    </row>
    <row r="987" spans="4:5" s="325" customFormat="1" x14ac:dyDescent="0.2">
      <c r="D987" s="330"/>
      <c r="E987" s="330"/>
    </row>
    <row r="988" spans="4:5" s="325" customFormat="1" x14ac:dyDescent="0.2">
      <c r="D988" s="330"/>
      <c r="E988" s="330"/>
    </row>
    <row r="989" spans="4:5" s="325" customFormat="1" x14ac:dyDescent="0.2">
      <c r="D989" s="330"/>
      <c r="E989" s="330"/>
    </row>
    <row r="990" spans="4:5" s="325" customFormat="1" x14ac:dyDescent="0.2">
      <c r="D990" s="330"/>
      <c r="E990" s="330"/>
    </row>
    <row r="991" spans="4:5" s="325" customFormat="1" x14ac:dyDescent="0.2">
      <c r="D991" s="330"/>
      <c r="E991" s="330"/>
    </row>
    <row r="992" spans="4:5" s="325" customFormat="1" x14ac:dyDescent="0.2">
      <c r="D992" s="330"/>
      <c r="E992" s="330"/>
    </row>
    <row r="993" spans="4:5" s="325" customFormat="1" x14ac:dyDescent="0.2">
      <c r="D993" s="330"/>
      <c r="E993" s="330"/>
    </row>
    <row r="994" spans="4:5" s="325" customFormat="1" x14ac:dyDescent="0.2">
      <c r="D994" s="330"/>
      <c r="E994" s="330"/>
    </row>
    <row r="995" spans="4:5" s="325" customFormat="1" x14ac:dyDescent="0.2">
      <c r="D995" s="330"/>
      <c r="E995" s="330"/>
    </row>
    <row r="996" spans="4:5" s="325" customFormat="1" x14ac:dyDescent="0.2">
      <c r="D996" s="330"/>
      <c r="E996" s="330"/>
    </row>
    <row r="997" spans="4:5" s="325" customFormat="1" x14ac:dyDescent="0.2">
      <c r="D997" s="330"/>
      <c r="E997" s="330"/>
    </row>
    <row r="998" spans="4:5" s="325" customFormat="1" x14ac:dyDescent="0.2">
      <c r="D998" s="330"/>
      <c r="E998" s="330"/>
    </row>
    <row r="999" spans="4:5" s="325" customFormat="1" x14ac:dyDescent="0.2">
      <c r="D999" s="330"/>
      <c r="E999" s="330"/>
    </row>
    <row r="1000" spans="4:5" s="325" customFormat="1" x14ac:dyDescent="0.2">
      <c r="D1000" s="330"/>
      <c r="E1000" s="330"/>
    </row>
    <row r="1001" spans="4:5" s="325" customFormat="1" x14ac:dyDescent="0.2">
      <c r="D1001" s="330"/>
      <c r="E1001" s="330"/>
    </row>
    <row r="1002" spans="4:5" s="325" customFormat="1" x14ac:dyDescent="0.2">
      <c r="D1002" s="330"/>
      <c r="E1002" s="330"/>
    </row>
    <row r="1003" spans="4:5" s="325" customFormat="1" x14ac:dyDescent="0.2">
      <c r="D1003" s="330"/>
      <c r="E1003" s="330"/>
    </row>
    <row r="1004" spans="4:5" s="325" customFormat="1" x14ac:dyDescent="0.2">
      <c r="D1004" s="330"/>
      <c r="E1004" s="330"/>
    </row>
    <row r="1005" spans="4:5" s="325" customFormat="1" x14ac:dyDescent="0.2">
      <c r="D1005" s="330"/>
      <c r="E1005" s="330"/>
    </row>
    <row r="1006" spans="4:5" s="325" customFormat="1" x14ac:dyDescent="0.2">
      <c r="D1006" s="330"/>
      <c r="E1006" s="330"/>
    </row>
    <row r="1007" spans="4:5" s="325" customFormat="1" x14ac:dyDescent="0.2">
      <c r="D1007" s="330"/>
      <c r="E1007" s="330"/>
    </row>
    <row r="1008" spans="4:5" s="325" customFormat="1" x14ac:dyDescent="0.2">
      <c r="D1008" s="330"/>
      <c r="E1008" s="330"/>
    </row>
    <row r="1009" spans="4:5" s="325" customFormat="1" x14ac:dyDescent="0.2">
      <c r="D1009" s="330"/>
      <c r="E1009" s="330"/>
    </row>
    <row r="1010" spans="4:5" s="325" customFormat="1" x14ac:dyDescent="0.2">
      <c r="D1010" s="330"/>
      <c r="E1010" s="330"/>
    </row>
    <row r="1011" spans="4:5" s="325" customFormat="1" x14ac:dyDescent="0.2">
      <c r="D1011" s="330"/>
      <c r="E1011" s="330"/>
    </row>
    <row r="1012" spans="4:5" s="325" customFormat="1" x14ac:dyDescent="0.2">
      <c r="D1012" s="330"/>
      <c r="E1012" s="330"/>
    </row>
    <row r="1013" spans="4:5" s="325" customFormat="1" x14ac:dyDescent="0.2">
      <c r="D1013" s="330"/>
      <c r="E1013" s="330"/>
    </row>
    <row r="1014" spans="4:5" s="325" customFormat="1" x14ac:dyDescent="0.2">
      <c r="D1014" s="330"/>
      <c r="E1014" s="330"/>
    </row>
    <row r="1015" spans="4:5" s="325" customFormat="1" x14ac:dyDescent="0.2">
      <c r="D1015" s="330"/>
      <c r="E1015" s="330"/>
    </row>
    <row r="1016" spans="4:5" s="325" customFormat="1" x14ac:dyDescent="0.2">
      <c r="D1016" s="330"/>
      <c r="E1016" s="330"/>
    </row>
    <row r="1017" spans="4:5" s="325" customFormat="1" x14ac:dyDescent="0.2">
      <c r="D1017" s="330"/>
      <c r="E1017" s="330"/>
    </row>
    <row r="1018" spans="4:5" s="325" customFormat="1" x14ac:dyDescent="0.2">
      <c r="D1018" s="330"/>
      <c r="E1018" s="330"/>
    </row>
    <row r="1019" spans="4:5" s="325" customFormat="1" x14ac:dyDescent="0.2">
      <c r="D1019" s="330"/>
      <c r="E1019" s="330"/>
    </row>
    <row r="1020" spans="4:5" s="325" customFormat="1" x14ac:dyDescent="0.2">
      <c r="D1020" s="330"/>
      <c r="E1020" s="330"/>
    </row>
    <row r="1021" spans="4:5" s="325" customFormat="1" x14ac:dyDescent="0.2">
      <c r="D1021" s="330"/>
      <c r="E1021" s="330"/>
    </row>
    <row r="1022" spans="4:5" s="325" customFormat="1" x14ac:dyDescent="0.2">
      <c r="D1022" s="330"/>
      <c r="E1022" s="330"/>
    </row>
    <row r="1023" spans="4:5" s="325" customFormat="1" x14ac:dyDescent="0.2">
      <c r="D1023" s="330"/>
      <c r="E1023" s="330"/>
    </row>
    <row r="1024" spans="4:5" s="325" customFormat="1" x14ac:dyDescent="0.2">
      <c r="D1024" s="330"/>
      <c r="E1024" s="330"/>
    </row>
    <row r="1025" spans="4:5" s="325" customFormat="1" x14ac:dyDescent="0.2">
      <c r="D1025" s="330"/>
      <c r="E1025" s="330"/>
    </row>
    <row r="1026" spans="4:5" s="325" customFormat="1" x14ac:dyDescent="0.2">
      <c r="D1026" s="330"/>
      <c r="E1026" s="330"/>
    </row>
    <row r="1027" spans="4:5" s="325" customFormat="1" x14ac:dyDescent="0.2">
      <c r="D1027" s="330"/>
      <c r="E1027" s="330"/>
    </row>
    <row r="1028" spans="4:5" s="325" customFormat="1" x14ac:dyDescent="0.2">
      <c r="D1028" s="330"/>
      <c r="E1028" s="330"/>
    </row>
    <row r="1029" spans="4:5" s="325" customFormat="1" x14ac:dyDescent="0.2">
      <c r="D1029" s="330"/>
      <c r="E1029" s="330"/>
    </row>
    <row r="1030" spans="4:5" s="325" customFormat="1" x14ac:dyDescent="0.2">
      <c r="D1030" s="330"/>
      <c r="E1030" s="330"/>
    </row>
    <row r="1031" spans="4:5" s="325" customFormat="1" x14ac:dyDescent="0.2">
      <c r="D1031" s="330"/>
      <c r="E1031" s="330"/>
    </row>
    <row r="1032" spans="4:5" s="325" customFormat="1" x14ac:dyDescent="0.2">
      <c r="D1032" s="330"/>
      <c r="E1032" s="330"/>
    </row>
    <row r="1033" spans="4:5" s="325" customFormat="1" x14ac:dyDescent="0.2">
      <c r="D1033" s="330"/>
      <c r="E1033" s="330"/>
    </row>
    <row r="1034" spans="4:5" s="325" customFormat="1" x14ac:dyDescent="0.2">
      <c r="D1034" s="330"/>
      <c r="E1034" s="330"/>
    </row>
    <row r="1035" spans="4:5" s="325" customFormat="1" x14ac:dyDescent="0.2">
      <c r="D1035" s="330"/>
      <c r="E1035" s="330"/>
    </row>
    <row r="1036" spans="4:5" s="325" customFormat="1" x14ac:dyDescent="0.2">
      <c r="D1036" s="330"/>
      <c r="E1036" s="330"/>
    </row>
    <row r="1037" spans="4:5" s="325" customFormat="1" x14ac:dyDescent="0.2">
      <c r="D1037" s="330"/>
      <c r="E1037" s="330"/>
    </row>
    <row r="1038" spans="4:5" s="325" customFormat="1" x14ac:dyDescent="0.2">
      <c r="D1038" s="330"/>
      <c r="E1038" s="330"/>
    </row>
    <row r="1039" spans="4:5" s="325" customFormat="1" x14ac:dyDescent="0.2">
      <c r="D1039" s="330"/>
      <c r="E1039" s="330"/>
    </row>
    <row r="1040" spans="4:5" s="325" customFormat="1" x14ac:dyDescent="0.2">
      <c r="D1040" s="330"/>
      <c r="E1040" s="330"/>
    </row>
    <row r="1041" spans="4:5" s="325" customFormat="1" x14ac:dyDescent="0.2">
      <c r="D1041" s="330"/>
      <c r="E1041" s="330"/>
    </row>
    <row r="1042" spans="4:5" s="325" customFormat="1" x14ac:dyDescent="0.2">
      <c r="D1042" s="330"/>
      <c r="E1042" s="330"/>
    </row>
    <row r="1043" spans="4:5" s="325" customFormat="1" x14ac:dyDescent="0.2">
      <c r="D1043" s="330"/>
      <c r="E1043" s="330"/>
    </row>
    <row r="1044" spans="4:5" s="325" customFormat="1" x14ac:dyDescent="0.2">
      <c r="D1044" s="330"/>
      <c r="E1044" s="330"/>
    </row>
  </sheetData>
  <sheetProtection algorithmName="SHA-512" hashValue="ZmcS2o//K9jQe6hFI+JpUkIJIBS1DkGXuXra3mArMBK+/gauajvMoZ4xZDevBQeveSMnRWbU0vHLNKU2KYs+mg==" saltValue="xnyLjXdSKuBfdcE30Td3Sg==" spinCount="100000" sheet="1" selectLockedCells="1"/>
  <customSheetViews>
    <customSheetView guid="{B8FE7C60-7D84-469C-BE86-7AE2888FE41C}" scale="110" showPageBreaks="1" showGridLines="0" showRowCol="0" fitToPage="1" printArea="1" hiddenRows="1" view="pageBreakPreview">
      <selection activeCell="D6" sqref="D6:I6"/>
      <pageMargins left="0.51181102362204722" right="3.937007874015748E-2" top="0.11811023622047245" bottom="3.937007874015748E-2" header="7.874015748031496E-2" footer="0"/>
      <printOptions horizontalCentered="1" verticalCentered="1"/>
      <pageSetup paperSize="9" orientation="portrait" r:id="rId1"/>
      <headerFooter>
        <oddHeader>&amp;LBerechnung zur Aufteilung eines Grundstückskaufpreises&amp;R&amp;D &amp;T</oddHeader>
        <oddFooter>&amp;LKPA 1/13 - Kaufpreisaufteilung – Dezember 2013</oddFooter>
      </headerFooter>
    </customSheetView>
  </customSheetViews>
  <mergeCells count="74">
    <mergeCell ref="D72:G72"/>
    <mergeCell ref="D55:E55"/>
    <mergeCell ref="D57:E57"/>
    <mergeCell ref="D54:J54"/>
    <mergeCell ref="D56:J56"/>
    <mergeCell ref="F55:J55"/>
    <mergeCell ref="F57:J57"/>
    <mergeCell ref="D87:J87"/>
    <mergeCell ref="D92:J92"/>
    <mergeCell ref="D90:J90"/>
    <mergeCell ref="D121:E121"/>
    <mergeCell ref="D118:L118"/>
    <mergeCell ref="F119:G119"/>
    <mergeCell ref="J119:K119"/>
    <mergeCell ref="D103:J103"/>
    <mergeCell ref="D105:J105"/>
    <mergeCell ref="D109:J109"/>
    <mergeCell ref="D110:J110"/>
    <mergeCell ref="D116:J116"/>
    <mergeCell ref="D88:J88"/>
    <mergeCell ref="D115:K115"/>
    <mergeCell ref="D107:J107"/>
    <mergeCell ref="D114:E114"/>
    <mergeCell ref="D53:L53"/>
    <mergeCell ref="D78:J78"/>
    <mergeCell ref="D99:J99"/>
    <mergeCell ref="K59:L59"/>
    <mergeCell ref="K57:L57"/>
    <mergeCell ref="K55:L55"/>
    <mergeCell ref="D95:J95"/>
    <mergeCell ref="D97:J97"/>
    <mergeCell ref="D93:J93"/>
    <mergeCell ref="K69:L69"/>
    <mergeCell ref="D75:G75"/>
    <mergeCell ref="K75:L75"/>
    <mergeCell ref="K68:L68"/>
    <mergeCell ref="D89:J89"/>
    <mergeCell ref="D85:J85"/>
    <mergeCell ref="D80:J80"/>
    <mergeCell ref="C3:M3"/>
    <mergeCell ref="D13:F13"/>
    <mergeCell ref="D19:K19"/>
    <mergeCell ref="I15:J15"/>
    <mergeCell ref="L15:M15"/>
    <mergeCell ref="D17:F17"/>
    <mergeCell ref="D15:F15"/>
    <mergeCell ref="E7:K7"/>
    <mergeCell ref="E5:K5"/>
    <mergeCell ref="I17:J17"/>
    <mergeCell ref="I13:J13"/>
    <mergeCell ref="I11:J11"/>
    <mergeCell ref="I9:J9"/>
    <mergeCell ref="K64:L64"/>
    <mergeCell ref="K66:L66"/>
    <mergeCell ref="D62:L62"/>
    <mergeCell ref="D63:F63"/>
    <mergeCell ref="K65:L65"/>
    <mergeCell ref="D65:F65"/>
    <mergeCell ref="I47:J48"/>
    <mergeCell ref="D69:J69"/>
    <mergeCell ref="D70:J70"/>
    <mergeCell ref="I26:J26"/>
    <mergeCell ref="I20:J20"/>
    <mergeCell ref="D67:F67"/>
    <mergeCell ref="H67:J67"/>
    <mergeCell ref="J28:K33"/>
    <mergeCell ref="I42:K42"/>
    <mergeCell ref="I37:J39"/>
    <mergeCell ref="D28:F29"/>
    <mergeCell ref="I40:K41"/>
    <mergeCell ref="H28:I29"/>
    <mergeCell ref="K67:L67"/>
    <mergeCell ref="D52:L52"/>
    <mergeCell ref="H65:J65"/>
  </mergeCells>
  <conditionalFormatting sqref="C24">
    <cfRule type="expression" dxfId="113" priority="85">
      <formula>$A$103="Einblenden"</formula>
    </cfRule>
  </conditionalFormatting>
  <conditionalFormatting sqref="C36">
    <cfRule type="expression" dxfId="112" priority="81">
      <formula>$A$78="Einblenden"</formula>
    </cfRule>
  </conditionalFormatting>
  <conditionalFormatting sqref="C45">
    <cfRule type="expression" dxfId="111" priority="83">
      <formula>$A$62="Einblenden"</formula>
    </cfRule>
  </conditionalFormatting>
  <conditionalFormatting sqref="D24">
    <cfRule type="expression" dxfId="110" priority="167">
      <formula>$A$24="Ausblenden"</formula>
    </cfRule>
  </conditionalFormatting>
  <conditionalFormatting sqref="D28">
    <cfRule type="expression" dxfId="109" priority="165">
      <formula>$A$28="Ausblenden"</formula>
    </cfRule>
  </conditionalFormatting>
  <conditionalFormatting sqref="D36">
    <cfRule type="expression" dxfId="108" priority="88">
      <formula>$A$36="Ausblenden"</formula>
    </cfRule>
  </conditionalFormatting>
  <conditionalFormatting sqref="D40">
    <cfRule type="expression" dxfId="107" priority="329">
      <formula>#REF!="Nein"</formula>
    </cfRule>
    <cfRule type="expression" dxfId="106" priority="330">
      <formula>A40="Ausblenden"</formula>
    </cfRule>
  </conditionalFormatting>
  <conditionalFormatting sqref="D42">
    <cfRule type="expression" dxfId="105" priority="21">
      <formula>#REF!="Nein"</formula>
    </cfRule>
    <cfRule type="expression" dxfId="104" priority="22">
      <formula>A42="Ausblenden"</formula>
    </cfRule>
  </conditionalFormatting>
  <conditionalFormatting sqref="D47:D48">
    <cfRule type="expression" dxfId="103" priority="144">
      <formula>$A$45="Ausblenden"</formula>
    </cfRule>
  </conditionalFormatting>
  <conditionalFormatting sqref="D54:D57">
    <cfRule type="expression" dxfId="102" priority="31">
      <formula>$O$21="leer"</formula>
    </cfRule>
    <cfRule type="expression" dxfId="101" priority="30">
      <formula>$A$53="Ausblenden"</formula>
    </cfRule>
  </conditionalFormatting>
  <conditionalFormatting sqref="D31:E33">
    <cfRule type="expression" dxfId="100" priority="155">
      <formula>$A$28="Ausblenden"</formula>
    </cfRule>
  </conditionalFormatting>
  <conditionalFormatting sqref="D45:E45">
    <cfRule type="expression" dxfId="99" priority="145">
      <formula>$A$45="Ausblenden"</formula>
    </cfRule>
  </conditionalFormatting>
  <conditionalFormatting sqref="D15:F15">
    <cfRule type="expression" dxfId="98" priority="253">
      <formula>IF(OR(ISNUMBER(SEARCH("eigentum",$E$7)),$E$7="Geschäftsgrundstücke (Geschäfts.) in Teileigentum",$E$7="Geschäftsgrundstücke (Bürog.) in Teileigentum"),"falsch","wahr")</formula>
    </cfRule>
  </conditionalFormatting>
  <conditionalFormatting sqref="D26:F26">
    <cfRule type="expression" dxfId="97" priority="168">
      <formula>$A$26="Ausblenden"</formula>
    </cfRule>
  </conditionalFormatting>
  <conditionalFormatting sqref="D30:F30">
    <cfRule type="expression" dxfId="96" priority="158">
      <formula>$A$28="Ausblenden"</formula>
    </cfRule>
  </conditionalFormatting>
  <conditionalFormatting sqref="D119:F119">
    <cfRule type="expression" dxfId="95" priority="281">
      <formula>$O$21="leer"</formula>
    </cfRule>
  </conditionalFormatting>
  <conditionalFormatting sqref="D58:J58">
    <cfRule type="expression" dxfId="94" priority="37">
      <formula>IF(AND(ISNUMBER(SEARCH("eigentum",$E$7)),$G$15&lt;&gt;""),"falsch","wahr")</formula>
    </cfRule>
  </conditionalFormatting>
  <conditionalFormatting sqref="D82:J82">
    <cfRule type="expression" dxfId="93" priority="86">
      <formula>$A$83="Ausblenden"</formula>
    </cfRule>
  </conditionalFormatting>
  <conditionalFormatting sqref="D88:K89">
    <cfRule type="expression" dxfId="92" priority="105">
      <formula>$A$89="Ausblenden"</formula>
    </cfRule>
  </conditionalFormatting>
  <conditionalFormatting sqref="D93:K94">
    <cfRule type="expression" dxfId="91" priority="136">
      <formula>$A$93="Ausblenden"</formula>
    </cfRule>
  </conditionalFormatting>
  <conditionalFormatting sqref="D53:L53 K54:L57 F55 F57 D58:L60">
    <cfRule type="expression" dxfId="90" priority="32">
      <formula>$A$53="Ausblenden"</formula>
    </cfRule>
  </conditionalFormatting>
  <conditionalFormatting sqref="D53:L53 K54:L57 F55 F57 D59:L77">
    <cfRule type="expression" dxfId="89" priority="36">
      <formula>$O$21="leer"</formula>
    </cfRule>
  </conditionalFormatting>
  <conditionalFormatting sqref="D58:L58">
    <cfRule type="expression" dxfId="88" priority="33">
      <formula>$O$21="leer"</formula>
    </cfRule>
  </conditionalFormatting>
  <conditionalFormatting sqref="D62:L76">
    <cfRule type="expression" dxfId="87" priority="139">
      <formula>$A$62="Ausblenden"</formula>
    </cfRule>
  </conditionalFormatting>
  <conditionalFormatting sqref="D78:L101">
    <cfRule type="expression" dxfId="86" priority="106">
      <formula>$A$78="Ausblenden"</formula>
    </cfRule>
  </conditionalFormatting>
  <conditionalFormatting sqref="D102:L102 D113:L113 F114:L114 D114:D116 L115 K116:L116 D117:L118 H119:I119 D120:H120 D121 F121:H121 D122:H122 D123:L123">
    <cfRule type="expression" dxfId="85" priority="301">
      <formula>$O$21="leer"</formula>
    </cfRule>
  </conditionalFormatting>
  <conditionalFormatting sqref="D103:L112">
    <cfRule type="expression" dxfId="84" priority="140">
      <formula>$A$103="Ausblenden"</formula>
    </cfRule>
  </conditionalFormatting>
  <conditionalFormatting sqref="D118:L123">
    <cfRule type="expression" dxfId="83" priority="103">
      <formula>$A$118="Ausblenden"</formula>
    </cfRule>
  </conditionalFormatting>
  <conditionalFormatting sqref="E5">
    <cfRule type="cellIs" dxfId="82" priority="264" operator="equal">
      <formula>""</formula>
    </cfRule>
  </conditionalFormatting>
  <conditionalFormatting sqref="E7">
    <cfRule type="cellIs" dxfId="81" priority="265" operator="equal">
      <formula>""</formula>
    </cfRule>
  </conditionalFormatting>
  <conditionalFormatting sqref="E36 D38:E38 E47:E48">
    <cfRule type="expression" dxfId="80" priority="317">
      <formula>$A$38="Ausblenden"</formula>
    </cfRule>
  </conditionalFormatting>
  <conditionalFormatting sqref="E40:F40 H40 L40">
    <cfRule type="expression" dxfId="79" priority="97">
      <formula>$A40="Ausblenden"</formula>
    </cfRule>
  </conditionalFormatting>
  <conditionalFormatting sqref="G9">
    <cfRule type="cellIs" dxfId="78" priority="266" operator="lessThan">
      <formula>1958</formula>
    </cfRule>
  </conditionalFormatting>
  <conditionalFormatting sqref="G11">
    <cfRule type="cellIs" dxfId="77" priority="237" operator="lessThan">
      <formula>1500</formula>
    </cfRule>
  </conditionalFormatting>
  <conditionalFormatting sqref="G15">
    <cfRule type="expression" dxfId="76" priority="304" stopIfTrue="1">
      <formula>IF(AND(ISNUMBER(SEARCH("eigentum",$E$7)),$G$15&lt;&gt;""),"wahr","falsch")</formula>
    </cfRule>
    <cfRule type="expression" dxfId="75" priority="305">
      <formula>IF(OR(ISNUMBER(SEARCH("eigentum",$E$7)),$E$7="Geschäftsgrundstücke, Bürogebäude",$E$7="Geschäftsgrundstücke, Geschäftshäuser"),"falsch","wahr")</formula>
    </cfRule>
    <cfRule type="expression" dxfId="74" priority="306">
      <formula>IF(AND(ISNUMBER(SEARCH("eigentum",$E$7)),$G$15=""),"wahr","falsch")</formula>
    </cfRule>
  </conditionalFormatting>
  <conditionalFormatting sqref="G17">
    <cfRule type="cellIs" dxfId="73" priority="268" operator="lessThanOrEqual">
      <formula>0</formula>
    </cfRule>
  </conditionalFormatting>
  <conditionalFormatting sqref="G26">
    <cfRule type="cellIs" dxfId="72" priority="196" operator="lessThanOrEqual">
      <formula>0</formula>
    </cfRule>
    <cfRule type="expression" dxfId="71" priority="164">
      <formula>$A$26="Ausblenden"</formula>
    </cfRule>
  </conditionalFormatting>
  <conditionalFormatting sqref="G28">
    <cfRule type="expression" dxfId="70" priority="162">
      <formula>$A$28="Ausblenden"</formula>
    </cfRule>
    <cfRule type="cellIs" dxfId="69" priority="183" operator="lessThanOrEqual">
      <formula>0</formula>
    </cfRule>
  </conditionalFormatting>
  <conditionalFormatting sqref="G31 G33">
    <cfRule type="expression" dxfId="68" priority="157">
      <formula>#REF!="Ausblenden"</formula>
    </cfRule>
    <cfRule type="expression" dxfId="67" priority="111">
      <formula>$A$31="Ausblenden"</formula>
    </cfRule>
  </conditionalFormatting>
  <conditionalFormatting sqref="G31">
    <cfRule type="expression" dxfId="66" priority="114">
      <formula>IF(AND($G$31=0,$G$13&gt;0),TRUE,FALSE)</formula>
    </cfRule>
  </conditionalFormatting>
  <conditionalFormatting sqref="G33">
    <cfRule type="expression" dxfId="65" priority="159">
      <formula>IF(AND($G$33=0,$K$13&gt;0),TRUE,FALSE)</formula>
    </cfRule>
  </conditionalFormatting>
  <conditionalFormatting sqref="G38">
    <cfRule type="expression" dxfId="64" priority="319">
      <formula>$A$38="Ausblenden"</formula>
    </cfRule>
    <cfRule type="cellIs" dxfId="63" priority="320" operator="lessThanOrEqual">
      <formula>0</formula>
    </cfRule>
  </conditionalFormatting>
  <conditionalFormatting sqref="G40">
    <cfRule type="expression" dxfId="62" priority="51">
      <formula>IF(AND($G$38="Ja",$G$40=""),TRUE)</formula>
    </cfRule>
    <cfRule type="expression" dxfId="61" priority="323">
      <formula>$A$40="Ausblenden"</formula>
    </cfRule>
    <cfRule type="expression" dxfId="60" priority="326">
      <formula>$G$38="Nein"</formula>
    </cfRule>
    <cfRule type="expression" dxfId="59" priority="327">
      <formula>#REF!="Ausblenden"</formula>
    </cfRule>
    <cfRule type="expression" dxfId="58" priority="328">
      <formula>AND(#REF!="Ja",#REF!&lt;1)</formula>
    </cfRule>
    <cfRule type="expression" dxfId="57" priority="322">
      <formula>$A$40+$G$38=""</formula>
    </cfRule>
  </conditionalFormatting>
  <conditionalFormatting sqref="G42">
    <cfRule type="expression" dxfId="56" priority="8">
      <formula>$A$42="Ausblenden"</formula>
    </cfRule>
    <cfRule type="expression" dxfId="55" priority="10">
      <formula>$A$40="Ausblenden"</formula>
    </cfRule>
    <cfRule type="expression" dxfId="54" priority="11">
      <formula>$G$38="Nein"</formula>
    </cfRule>
    <cfRule type="expression" dxfId="53" priority="9">
      <formula>$A$40+$G$38=""</formula>
    </cfRule>
  </conditionalFormatting>
  <conditionalFormatting sqref="G47">
    <cfRule type="expression" dxfId="52" priority="143">
      <formula>$A$47="Einblenden"</formula>
    </cfRule>
  </conditionalFormatting>
  <conditionalFormatting sqref="G48">
    <cfRule type="expression" dxfId="51" priority="1">
      <formula>#REF!="Ausblenden"</formula>
    </cfRule>
  </conditionalFormatting>
  <conditionalFormatting sqref="G36:I36 L36 G45:L45">
    <cfRule type="expression" dxfId="50" priority="316">
      <formula>#REF!="Ausblenden"</formula>
    </cfRule>
  </conditionalFormatting>
  <conditionalFormatting sqref="H28">
    <cfRule type="expression" dxfId="49" priority="112">
      <formula>$A$28="Ausblenden"</formula>
    </cfRule>
  </conditionalFormatting>
  <conditionalFormatting sqref="I15">
    <cfRule type="expression" dxfId="48" priority="252">
      <formula>IF(OR(ISNUMBER(SEARCH("eigentum",$E$7)),$E$7="Geschäftsgrundstücke (Geschäfts.) in Teileigentum",$E$7="Geschäftsgrundstücke (Bürog.) in Teileigentum"),"falsch","wahr")</formula>
    </cfRule>
  </conditionalFormatting>
  <conditionalFormatting sqref="I26">
    <cfRule type="expression" dxfId="47" priority="48">
      <formula>$A$28="Ausblenden"</formula>
    </cfRule>
  </conditionalFormatting>
  <conditionalFormatting sqref="I37">
    <cfRule type="expression" dxfId="46" priority="52">
      <formula>$A$40="Ausblenden"</formula>
    </cfRule>
  </conditionalFormatting>
  <conditionalFormatting sqref="I47">
    <cfRule type="expression" dxfId="45" priority="4">
      <formula>$A$45="Ausblenden"</formula>
    </cfRule>
  </conditionalFormatting>
  <conditionalFormatting sqref="I40:K41">
    <cfRule type="expression" dxfId="44" priority="23">
      <formula>IF($K$37=0,TRUE)</formula>
    </cfRule>
  </conditionalFormatting>
  <conditionalFormatting sqref="I42:K42">
    <cfRule type="expression" dxfId="43" priority="58">
      <formula>IF($I$40&lt;&gt;"",TRUE,unwahr)</formula>
    </cfRule>
  </conditionalFormatting>
  <conditionalFormatting sqref="J119:J122">
    <cfRule type="expression" dxfId="42" priority="277">
      <formula>$O$21="leer"</formula>
    </cfRule>
  </conditionalFormatting>
  <conditionalFormatting sqref="J28:K33">
    <cfRule type="expression" dxfId="41" priority="107">
      <formula>$A$28="Ausblenden"</formula>
    </cfRule>
  </conditionalFormatting>
  <conditionalFormatting sqref="K9">
    <cfRule type="cellIs" dxfId="40" priority="269" operator="lessThanOrEqual">
      <formula>0</formula>
    </cfRule>
  </conditionalFormatting>
  <conditionalFormatting sqref="K11">
    <cfRule type="cellIs" dxfId="39" priority="270" operator="lessThan">
      <formula>1</formula>
    </cfRule>
  </conditionalFormatting>
  <conditionalFormatting sqref="K15">
    <cfRule type="expression" dxfId="38" priority="308">
      <formula>IF(OR(ISNUMBER(SEARCH("eigentum",$E$7)),$E$7="Geschäftsgrundstücke, Bürogebäude",$E$7="Geschäftsgrundstücke, Geschäftshäuser"),"falsch","wahr")</formula>
    </cfRule>
    <cfRule type="expression" dxfId="37" priority="309">
      <formula>IF(AND(ISNUMBER(SEARCH("eigentum",$E$7)),$K$15=""),"wahr","falsch")</formula>
    </cfRule>
    <cfRule type="expression" dxfId="36" priority="307" stopIfTrue="1">
      <formula>IF(AND(ISNUMBER(SEARCH("eigentum",$E$7)),$K$15&lt;&gt;""),"wahr","falsch")</formula>
    </cfRule>
  </conditionalFormatting>
  <conditionalFormatting sqref="K17">
    <cfRule type="cellIs" dxfId="35" priority="267" operator="lessThanOrEqual">
      <formula>0</formula>
    </cfRule>
  </conditionalFormatting>
  <conditionalFormatting sqref="K26">
    <cfRule type="cellIs" dxfId="34" priority="47" operator="lessThanOrEqual">
      <formula>0</formula>
    </cfRule>
    <cfRule type="expression" dxfId="33" priority="46">
      <formula>$A$28="Ausblenden"</formula>
    </cfRule>
  </conditionalFormatting>
  <conditionalFormatting sqref="K37">
    <cfRule type="expression" dxfId="32" priority="56">
      <formula>AND(#REF!="Ja",#REF!&lt;1)</formula>
    </cfRule>
    <cfRule type="expression" dxfId="31" priority="55">
      <formula>$G$38="Nein"</formula>
    </cfRule>
    <cfRule type="expression" dxfId="30" priority="54">
      <formula>$A$40="Ausblenden"</formula>
    </cfRule>
    <cfRule type="expression" dxfId="29" priority="53">
      <formula>$A$40+$G$38=""</formula>
    </cfRule>
  </conditionalFormatting>
  <conditionalFormatting sqref="K38">
    <cfRule type="expression" dxfId="28" priority="61">
      <formula>C40="Ausblenden"</formula>
    </cfRule>
  </conditionalFormatting>
  <conditionalFormatting sqref="K47">
    <cfRule type="expression" dxfId="27" priority="3">
      <formula>$A$47="Einblenden"</formula>
    </cfRule>
  </conditionalFormatting>
  <conditionalFormatting sqref="K48">
    <cfRule type="expression" dxfId="26" priority="2">
      <formula>#REF!="Ausblenden"</formula>
    </cfRule>
  </conditionalFormatting>
  <conditionalFormatting sqref="K58">
    <cfRule type="expression" dxfId="25" priority="34">
      <formula>IF($E$7&lt;&gt;"Wohnungsteileigentum ","wahr","falsch")</formula>
    </cfRule>
  </conditionalFormatting>
  <conditionalFormatting sqref="K82:K83">
    <cfRule type="expression" dxfId="24" priority="87">
      <formula>$A$83="Ausblenden"</formula>
    </cfRule>
  </conditionalFormatting>
  <conditionalFormatting sqref="K64:L64">
    <cfRule type="cellIs" dxfId="23" priority="303" operator="lessThan">
      <formula>0</formula>
    </cfRule>
  </conditionalFormatting>
  <conditionalFormatting sqref="K120:L122">
    <cfRule type="expression" dxfId="22" priority="278">
      <formula>$O$21="leer"</formula>
    </cfRule>
  </conditionalFormatting>
  <dataValidations count="12">
    <dataValidation type="whole" allowBlank="1" showInputMessage="1" showErrorMessage="1" sqref="G13 K13" xr:uid="{00000000-0002-0000-0000-000000000000}">
      <formula1>0</formula1>
      <formula2>100</formula2>
    </dataValidation>
    <dataValidation type="whole" allowBlank="1" showInputMessage="1" showErrorMessage="1" sqref="F9" xr:uid="{00000000-0002-0000-0000-000001000000}">
      <formula1>1958</formula1>
      <formula2>2020</formula2>
    </dataValidation>
    <dataValidation type="whole" allowBlank="1" showInputMessage="1" showErrorMessage="1" sqref="G15 K15" xr:uid="{00000000-0002-0000-0000-000002000000}">
      <formula1>1</formula1>
      <formula2>1000000000000</formula2>
    </dataValidation>
    <dataValidation type="date" allowBlank="1" showInputMessage="1" showErrorMessage="1" sqref="G9" xr:uid="{00000000-0002-0000-0000-000003000000}">
      <formula1>1</formula1>
      <formula2>49675</formula2>
    </dataValidation>
    <dataValidation type="list" showInputMessage="1" showErrorMessage="1" sqref="G26 G38" xr:uid="{00000000-0002-0000-0000-000004000000}">
      <formula1>"Ja,Nein"</formula1>
    </dataValidation>
    <dataValidation type="list" showInputMessage="1" showErrorMessage="1" sqref="G50" xr:uid="{00000000-0002-0000-0000-000005000000}">
      <formula1>"Ja,Nein,&gt;&lt;"</formula1>
    </dataValidation>
    <dataValidation showInputMessage="1" showErrorMessage="1" sqref="G28:G29" xr:uid="{00000000-0002-0000-0000-000006000000}"/>
    <dataValidation type="decimal" allowBlank="1" showInputMessage="1" showErrorMessage="1" sqref="G30" xr:uid="{00000000-0002-0000-0000-000007000000}">
      <formula1>0</formula1>
      <formula2>10</formula2>
    </dataValidation>
    <dataValidation type="decimal" showInputMessage="1" showErrorMessage="1" sqref="K47" xr:uid="{00000000-0002-0000-0000-000008000000}">
      <formula1>0.5</formula1>
      <formula2>2.5</formula2>
    </dataValidation>
    <dataValidation type="list" showInputMessage="1" showErrorMessage="1" sqref="K26" xr:uid="{00000000-0002-0000-0000-000009000000}">
      <formula1>"Wohn- bzw. Nutzfläche, Bruttogrundfläche"</formula1>
    </dataValidation>
    <dataValidation type="list" allowBlank="1" showInputMessage="1" showErrorMessage="1" sqref="E7:K7" xr:uid="{00000000-0002-0000-0000-00000A000000}">
      <formula1>$D$131:$D$189</formula1>
    </dataValidation>
    <dataValidation type="decimal" showInputMessage="1" showErrorMessage="1" sqref="G47:G48" xr:uid="{00000000-0002-0000-0000-00000B000000}">
      <formula1>0.5</formula1>
      <formula2>2</formula2>
    </dataValidation>
  </dataValidations>
  <printOptions horizontalCentered="1" verticalCentered="1"/>
  <pageMargins left="0.23622047244094491" right="0.23622047244094491" top="0" bottom="0.74803149606299213" header="0" footer="0.31496062992125984"/>
  <pageSetup paperSize="9" scale="76" fitToWidth="0" fitToHeight="0" orientation="portrait" horizontalDpi="4294967293" verticalDpi="4294967293" r:id="rId2"/>
  <headerFooter>
    <oddHeader>&amp;LBerechnung zur Aufteilung eines Grundstückskaufpreises  &amp;R&amp;D</oddHeader>
    <oddFooter>&amp;LKPA  1 - Kaufpreisaufteilung – 2025</oddFooter>
  </headerFooter>
  <rowBreaks count="1" manualBreakCount="1">
    <brk id="50" min="2" max="12" man="1"/>
  </rowBreaks>
  <ignoredErrors>
    <ignoredError sqref="K69 K64 K116 K114 F121:F122 K120:K121 G120:G121 K101 K97 K92:K93 K82:K83 K89:K90 D95 D115 K112 K107 K87 K85 K75 K72" evalError="1"/>
  </ignoredErrors>
  <drawing r:id="rId3"/>
  <legacyDrawing r:id="rId4"/>
  <extLst>
    <ext uri="{78C0D931-6437-407d-A8EE-F0AAD7539E65}">
      <x14:conditionalFormattings>
        <x14:conditionalFormatting xmlns:xm="http://schemas.microsoft.com/office/excel/2006/main">
          <x14:cfRule type="expression" priority="360" id="{DB875F8C-8125-4348-9DD6-89DE866E983B}">
            <xm:f>IF($K$17&lt;1000,IF((K37-VLOOKUP(E7,'EW-Bewertungsparameter'!A8:P71,K88,0))&lt;-1,TRUE))</xm:f>
            <x14:dxf>
              <font>
                <color rgb="FFFF0000"/>
              </font>
              <fill>
                <patternFill>
                  <bgColor rgb="FFFFFF00"/>
                </patternFill>
              </fill>
            </x14:dxf>
          </x14:cfRule>
          <x14:cfRule type="expression" priority="357" id="{576AA4B3-B157-45AD-B0CF-5CDC18CD4A66}">
            <xm:f>IF($K$17&gt;=1000,IF((K37-VLOOKUP(E7,'EW-Bewertungsparameter'!A8:P71,K88,0))&lt;-2.5,TRUE))</xm:f>
            <x14:dxf>
              <font>
                <color rgb="FFFFFF00"/>
              </font>
              <fill>
                <patternFill>
                  <bgColor rgb="FFFF0000"/>
                </patternFill>
              </fill>
              <border>
                <left style="thin">
                  <color rgb="FFFFFF00"/>
                </left>
                <right style="thin">
                  <color rgb="FFFFFF00"/>
                </right>
                <top style="thin">
                  <color rgb="FFFFFF00"/>
                </top>
                <bottom style="thin">
                  <color rgb="FFFFFF00"/>
                </bottom>
                <vertical/>
                <horizontal/>
              </border>
            </x14:dxf>
          </x14:cfRule>
          <x14:cfRule type="expression" priority="358" id="{4E49B7AB-1653-4514-BB52-1BB9E5D4DCF0}">
            <xm:f>IF($K$17&gt;=1000,IF((K37-VLOOKUP(E7,'EW-Bewertungsparameter'!A8:P71,K88,0))&lt;-1.5,TRUE))</xm:f>
            <x14:dxf>
              <font>
                <color rgb="FFFF0000"/>
              </font>
              <fill>
                <patternFill>
                  <bgColor rgb="FFFFFF00"/>
                </patternFill>
              </fill>
              <border>
                <left style="thin">
                  <color rgb="FFFF0000"/>
                </left>
                <right style="thin">
                  <color rgb="FFFF0000"/>
                </right>
                <top style="thin">
                  <color rgb="FFFF0000"/>
                </top>
                <bottom style="thin">
                  <color rgb="FFFF0000"/>
                </bottom>
                <vertical/>
                <horizontal/>
              </border>
            </x14:dxf>
          </x14:cfRule>
          <x14:cfRule type="expression" priority="359" id="{67061FBE-203E-4161-B2E1-8AF4413774DB}">
            <xm:f>IF($K$17&lt;1000,IF((K37-VLOOKUP(E7,'EW-Bewertungsparameter'!A8:P71,K88,0))&lt;-2,TRUE))</xm:f>
            <x14:dxf>
              <font>
                <color rgb="FFFFFF00"/>
              </font>
              <fill>
                <patternFill>
                  <bgColor rgb="FFFF0000"/>
                </patternFill>
              </fill>
            </x14:dxf>
          </x14:cfRule>
          <xm:sqref>I40:K41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99"/>
  </sheetPr>
  <dimension ref="A1:N78"/>
  <sheetViews>
    <sheetView showGridLines="0" showRowColHeaders="0" zoomScale="205" zoomScaleNormal="205" zoomScaleSheetLayoutView="160" zoomScalePageLayoutView="70" workbookViewId="0">
      <selection activeCell="D16" sqref="D16"/>
    </sheetView>
  </sheetViews>
  <sheetFormatPr baseColWidth="10" defaultColWidth="11.5703125" defaultRowHeight="11.25" x14ac:dyDescent="0.2"/>
  <cols>
    <col min="1" max="1" customWidth="true" style="105" width="0.7109375"/>
    <col min="2" max="2" customWidth="true" style="105" width="1.5703125"/>
    <col min="3" max="3" customWidth="true" style="105" width="44.28515625"/>
    <col min="4" max="4" customWidth="true" style="105" width="37.140625"/>
    <col min="5" max="5" customWidth="true" hidden="true" style="105" width="1.42578125"/>
    <col min="6" max="6" customWidth="true" hidden="true" style="105" width="5.42578125"/>
    <col min="7" max="7" customWidth="true" style="105" width="1.28515625"/>
    <col min="8" max="8" customWidth="true" style="105" width="0.7109375"/>
    <col min="9" max="10" customWidth="true" hidden="true" style="105" width="11.7109375"/>
    <col min="11" max="11" customWidth="true" hidden="true" style="105" width="13.0"/>
    <col min="12" max="12" customWidth="true" hidden="true" style="105" width="11.7109375"/>
    <col min="13" max="14" customWidth="true" hidden="true" style="105" width="0.0"/>
    <col min="15" max="16384" style="105" width="11.5703125"/>
  </cols>
  <sheetData>
    <row r="1" spans="1:8" ht="3" customHeight="1" x14ac:dyDescent="0.2">
      <c r="A1" s="103"/>
      <c r="B1" s="103"/>
      <c r="C1" s="103"/>
      <c r="D1" s="104"/>
      <c r="E1" s="103"/>
      <c r="F1" s="103"/>
      <c r="G1" s="103"/>
      <c r="H1" s="103"/>
    </row>
    <row r="2" spans="1:8" x14ac:dyDescent="0.2">
      <c r="A2" s="103"/>
      <c r="B2" s="106"/>
      <c r="C2" s="107"/>
      <c r="D2" s="107"/>
      <c r="E2" s="107"/>
      <c r="F2" s="107"/>
      <c r="G2" s="108"/>
      <c r="H2" s="103"/>
    </row>
    <row r="3" spans="1:8" ht="75" customHeight="1" x14ac:dyDescent="0.2">
      <c r="A3" s="103"/>
      <c r="B3" s="1065" t="s">
        <v>404</v>
      </c>
      <c r="C3" s="1066"/>
      <c r="D3" s="1066"/>
      <c r="E3" s="1066"/>
      <c r="F3" s="1066"/>
      <c r="G3" s="1067"/>
      <c r="H3" s="103"/>
    </row>
    <row r="4" spans="1:8" ht="3.75" customHeight="1" x14ac:dyDescent="0.2">
      <c r="A4" s="103"/>
      <c r="B4" s="109"/>
      <c r="C4" s="110"/>
      <c r="D4" s="111"/>
      <c r="E4" s="111"/>
      <c r="F4" s="111"/>
      <c r="G4" s="112"/>
      <c r="H4" s="103"/>
    </row>
    <row r="5" spans="1:8" ht="1.5" customHeight="1" thickBot="1" x14ac:dyDescent="0.25">
      <c r="A5" s="103"/>
      <c r="B5" s="109"/>
      <c r="C5" s="111"/>
      <c r="D5" s="111"/>
      <c r="E5" s="111"/>
      <c r="F5" s="111"/>
      <c r="G5" s="112"/>
      <c r="H5" s="103"/>
    </row>
    <row r="6" spans="1:8" ht="50.45" customHeight="1" thickBot="1" x14ac:dyDescent="0.25">
      <c r="A6" s="103"/>
      <c r="B6" s="109"/>
      <c r="C6" s="966" t="s">
        <v>117</v>
      </c>
      <c r="D6" s="959" t="str">
        <f>IF(KPA!$O$21="leer","Bitte KPA ausfüllen",KPA!E7)</f>
        <v>Bitte KPA ausfüllen</v>
      </c>
      <c r="E6" s="111"/>
      <c r="F6" s="111"/>
      <c r="G6" s="112"/>
      <c r="H6" s="103"/>
    </row>
    <row r="7" spans="1:8" ht="9.75" customHeight="1" thickBot="1" x14ac:dyDescent="0.25">
      <c r="A7" s="103"/>
      <c r="B7" s="109"/>
      <c r="C7" s="111"/>
      <c r="D7" s="111"/>
      <c r="E7" s="111"/>
      <c r="F7" s="111"/>
      <c r="G7" s="112"/>
      <c r="H7" s="103"/>
    </row>
    <row r="8" spans="1:8" hidden="1" x14ac:dyDescent="0.2">
      <c r="A8" s="103"/>
      <c r="B8" s="109"/>
      <c r="C8" s="111"/>
      <c r="D8" s="961">
        <f>KPA!G10</f>
        <v>1900</v>
      </c>
      <c r="E8" s="111"/>
      <c r="F8" s="111"/>
      <c r="G8" s="112"/>
      <c r="H8" s="103"/>
    </row>
    <row r="9" spans="1:8" ht="35.25" customHeight="1" thickBot="1" x14ac:dyDescent="0.25">
      <c r="A9" s="103"/>
      <c r="B9" s="109"/>
      <c r="C9" s="965" t="s">
        <v>140</v>
      </c>
      <c r="D9" s="959" t="str">
        <f>IF(KPA!$O$21&lt;&gt;"leer",'SW-NHK'!F81,"Bitte KPA ausfüllen")</f>
        <v>Bitte KPA ausfüllen</v>
      </c>
      <c r="E9" s="111"/>
      <c r="F9" s="111"/>
      <c r="G9" s="112"/>
      <c r="H9" s="103"/>
    </row>
    <row r="10" spans="1:8" ht="16.899999999999999" customHeight="1" x14ac:dyDescent="0.2">
      <c r="A10" s="103"/>
      <c r="B10" s="109"/>
      <c r="C10" s="1063" t="s">
        <v>356</v>
      </c>
      <c r="D10" s="1063"/>
      <c r="E10" s="111"/>
      <c r="F10" s="111"/>
      <c r="G10" s="112"/>
      <c r="H10" s="103"/>
    </row>
    <row r="11" spans="1:8" ht="4.5" hidden="1" customHeight="1" x14ac:dyDescent="0.2">
      <c r="A11" s="103"/>
      <c r="B11" s="109"/>
      <c r="C11" s="111"/>
      <c r="D11" s="203"/>
      <c r="E11" s="111"/>
      <c r="F11" s="111"/>
      <c r="G11" s="112"/>
      <c r="H11" s="103"/>
    </row>
    <row r="12" spans="1:8" ht="4.9000000000000004" customHeight="1" thickBot="1" x14ac:dyDescent="0.25">
      <c r="A12" s="103"/>
      <c r="B12" s="109"/>
      <c r="C12" s="895"/>
      <c r="D12" s="895"/>
      <c r="E12" s="111"/>
      <c r="F12" s="111"/>
      <c r="G12" s="112"/>
      <c r="H12" s="103"/>
    </row>
    <row r="13" spans="1:8" s="118" customFormat="1" ht="34.9" customHeight="1" thickBot="1" x14ac:dyDescent="0.25">
      <c r="A13" s="189"/>
      <c r="B13" s="113"/>
      <c r="C13" s="114" t="s">
        <v>113</v>
      </c>
      <c r="D13" s="959" t="str">
        <f>IF(KPA!$O$21&lt;&gt;"leer",KPA!G11,"Bitte KPA ausfüllen")</f>
        <v>Bitte KPA ausfüllen</v>
      </c>
      <c r="E13" s="115"/>
      <c r="F13" s="116"/>
      <c r="G13" s="117"/>
      <c r="H13" s="189"/>
    </row>
    <row r="14" spans="1:8" s="118" customFormat="1" ht="34.9" hidden="1" customHeight="1" x14ac:dyDescent="0.2">
      <c r="A14" s="189"/>
      <c r="B14" s="113"/>
      <c r="C14" s="135"/>
      <c r="D14" s="958" t="e">
        <f>IF(KPA!G10&gt;0,IF(KPA!G10-D9&gt;D13,KPA!G10-D9,D13))</f>
        <v>#VALUE!</v>
      </c>
      <c r="E14" s="115"/>
      <c r="F14" s="116"/>
      <c r="G14" s="117"/>
      <c r="H14" s="189"/>
    </row>
    <row r="15" spans="1:8" s="118" customFormat="1" ht="9.4" customHeight="1" thickBot="1" x14ac:dyDescent="0.25">
      <c r="A15" s="189"/>
      <c r="B15" s="113"/>
      <c r="C15" s="135"/>
      <c r="D15" s="961"/>
      <c r="E15" s="115"/>
      <c r="F15" s="116"/>
      <c r="G15" s="117"/>
      <c r="H15" s="189"/>
    </row>
    <row r="16" spans="1:8" s="118" customFormat="1" ht="32.65" customHeight="1" x14ac:dyDescent="0.2">
      <c r="A16" s="189"/>
      <c r="B16" s="113"/>
      <c r="C16" s="962" t="s">
        <v>402</v>
      </c>
      <c r="D16" s="963" t="s">
        <v>182</v>
      </c>
      <c r="E16" s="115"/>
      <c r="F16" s="116"/>
      <c r="G16" s="117"/>
      <c r="H16" s="189"/>
    </row>
    <row r="17" spans="1:12" ht="22.5" customHeight="1" thickBot="1" x14ac:dyDescent="0.25">
      <c r="A17" s="103"/>
      <c r="B17" s="109"/>
      <c r="C17" s="964" t="s">
        <v>407</v>
      </c>
      <c r="D17" s="975"/>
      <c r="E17" s="111"/>
      <c r="F17" s="111"/>
      <c r="G17" s="112"/>
      <c r="H17" s="103"/>
    </row>
    <row r="18" spans="1:12" ht="16.5" hidden="1" customHeight="1" x14ac:dyDescent="0.2">
      <c r="A18" s="103"/>
      <c r="B18" s="109"/>
      <c r="C18" s="894"/>
      <c r="D18" s="960" t="str">
        <f>IF(D16="Ja",D17,"")</f>
        <v/>
      </c>
      <c r="E18" s="111"/>
      <c r="F18" s="111"/>
      <c r="G18" s="112"/>
      <c r="H18" s="103"/>
    </row>
    <row r="19" spans="1:12" ht="9.75" customHeight="1" x14ac:dyDescent="0.2">
      <c r="A19" s="103"/>
      <c r="B19" s="109"/>
      <c r="C19" s="111"/>
      <c r="D19" s="136" t="str">
        <f>IF(KPA!$O$21&lt;&gt;"leer",IF(D13&gt;D8,IF(KPA!$O$21&lt;&gt;"leer","Ursrpüngliches Baujahr nach Anschaffungsjahr?",""),""),"")</f>
        <v/>
      </c>
      <c r="E19" s="119"/>
      <c r="F19" s="111"/>
      <c r="G19" s="112"/>
      <c r="H19" s="103"/>
    </row>
    <row r="20" spans="1:12" ht="48" customHeight="1" thickBot="1" x14ac:dyDescent="0.25">
      <c r="A20" s="103"/>
      <c r="B20" s="109"/>
      <c r="C20" s="1061" t="s">
        <v>405</v>
      </c>
      <c r="D20" s="1061"/>
      <c r="E20" s="111"/>
      <c r="F20" s="111"/>
      <c r="G20" s="112"/>
      <c r="H20" s="103"/>
    </row>
    <row r="21" spans="1:12" ht="23.25" thickBot="1" x14ac:dyDescent="0.25">
      <c r="A21" s="103"/>
      <c r="B21" s="109"/>
      <c r="C21" s="114" t="s">
        <v>115</v>
      </c>
      <c r="D21" s="974" t="s">
        <v>121</v>
      </c>
      <c r="E21" s="120" t="s">
        <v>157</v>
      </c>
      <c r="F21" s="121" t="s">
        <v>111</v>
      </c>
      <c r="G21" s="122"/>
      <c r="H21" s="103"/>
    </row>
    <row r="22" spans="1:12" x14ac:dyDescent="0.2">
      <c r="A22" s="103"/>
      <c r="B22" s="109"/>
      <c r="C22" s="208" t="s">
        <v>103</v>
      </c>
      <c r="D22" s="971" t="s">
        <v>166</v>
      </c>
      <c r="E22" s="120">
        <v>4</v>
      </c>
      <c r="F22" s="121">
        <f>IF(D22="ja",E22,IF(D22="teilweise",E22/2,0))</f>
        <v>0</v>
      </c>
      <c r="G22" s="122"/>
      <c r="H22" s="103"/>
    </row>
    <row r="23" spans="1:12" x14ac:dyDescent="0.2">
      <c r="A23" s="103"/>
      <c r="B23" s="109"/>
      <c r="C23" s="209" t="s">
        <v>104</v>
      </c>
      <c r="D23" s="972" t="s">
        <v>166</v>
      </c>
      <c r="E23" s="120">
        <v>2</v>
      </c>
      <c r="F23" s="121">
        <f t="shared" ref="F23:F29" si="0">IF(D23="ja",E23,IF(D23="teilweise",E23/2,0))</f>
        <v>0</v>
      </c>
      <c r="G23" s="122"/>
      <c r="H23" s="103"/>
    </row>
    <row r="24" spans="1:12" x14ac:dyDescent="0.2">
      <c r="A24" s="103"/>
      <c r="B24" s="109"/>
      <c r="C24" s="209" t="s">
        <v>105</v>
      </c>
      <c r="D24" s="972" t="s">
        <v>166</v>
      </c>
      <c r="E24" s="120">
        <v>2</v>
      </c>
      <c r="F24" s="121">
        <f t="shared" si="0"/>
        <v>0</v>
      </c>
      <c r="G24" s="122"/>
      <c r="H24" s="103"/>
    </row>
    <row r="25" spans="1:12" x14ac:dyDescent="0.2">
      <c r="A25" s="103"/>
      <c r="B25" s="109"/>
      <c r="C25" s="209" t="s">
        <v>106</v>
      </c>
      <c r="D25" s="972" t="s">
        <v>166</v>
      </c>
      <c r="E25" s="120">
        <v>2</v>
      </c>
      <c r="F25" s="121">
        <f t="shared" si="0"/>
        <v>0</v>
      </c>
      <c r="G25" s="122"/>
      <c r="H25" s="103"/>
    </row>
    <row r="26" spans="1:12" x14ac:dyDescent="0.2">
      <c r="A26" s="103"/>
      <c r="B26" s="109"/>
      <c r="C26" s="209" t="s">
        <v>107</v>
      </c>
      <c r="D26" s="972" t="s">
        <v>166</v>
      </c>
      <c r="E26" s="120">
        <v>4</v>
      </c>
      <c r="F26" s="121">
        <f t="shared" si="0"/>
        <v>0</v>
      </c>
      <c r="G26" s="122"/>
      <c r="H26" s="103"/>
    </row>
    <row r="27" spans="1:12" x14ac:dyDescent="0.2">
      <c r="A27" s="103"/>
      <c r="B27" s="109"/>
      <c r="C27" s="209" t="s">
        <v>108</v>
      </c>
      <c r="D27" s="972" t="s">
        <v>166</v>
      </c>
      <c r="E27" s="120">
        <v>2</v>
      </c>
      <c r="F27" s="121">
        <f t="shared" si="0"/>
        <v>0</v>
      </c>
      <c r="G27" s="122"/>
      <c r="H27" s="103"/>
    </row>
    <row r="28" spans="1:12" x14ac:dyDescent="0.2">
      <c r="A28" s="103"/>
      <c r="B28" s="109"/>
      <c r="C28" s="209" t="s">
        <v>109</v>
      </c>
      <c r="D28" s="972" t="s">
        <v>166</v>
      </c>
      <c r="E28" s="120">
        <v>2</v>
      </c>
      <c r="F28" s="121">
        <f t="shared" si="0"/>
        <v>0</v>
      </c>
      <c r="G28" s="122"/>
      <c r="H28" s="103"/>
    </row>
    <row r="29" spans="1:12" ht="12" thickBot="1" x14ac:dyDescent="0.25">
      <c r="A29" s="103"/>
      <c r="B29" s="109"/>
      <c r="C29" s="210" t="s">
        <v>110</v>
      </c>
      <c r="D29" s="973" t="s">
        <v>166</v>
      </c>
      <c r="E29" s="120">
        <v>2</v>
      </c>
      <c r="F29" s="121">
        <f t="shared" si="0"/>
        <v>0</v>
      </c>
      <c r="G29" s="122"/>
      <c r="H29" s="103"/>
    </row>
    <row r="30" spans="1:12" ht="36.6" customHeight="1" x14ac:dyDescent="0.2">
      <c r="A30" s="103"/>
      <c r="B30" s="109"/>
      <c r="C30" s="1071" t="s">
        <v>330</v>
      </c>
      <c r="D30" s="1071"/>
      <c r="E30" s="115"/>
      <c r="F30" s="123">
        <f>SUM(F22:F29)</f>
        <v>0</v>
      </c>
      <c r="G30" s="124"/>
      <c r="H30" s="103"/>
    </row>
    <row r="31" spans="1:12" ht="13.5" hidden="1" customHeight="1" x14ac:dyDescent="0.2">
      <c r="A31" s="180"/>
      <c r="B31" s="109"/>
      <c r="C31" s="111"/>
      <c r="D31" s="133"/>
      <c r="E31" s="119"/>
      <c r="F31" s="111"/>
      <c r="G31" s="112"/>
      <c r="H31" s="180"/>
      <c r="I31" s="179"/>
    </row>
    <row r="32" spans="1:12" ht="13.5" hidden="1" customHeight="1" x14ac:dyDescent="0.25">
      <c r="A32" s="182"/>
      <c r="B32" s="109"/>
      <c r="C32" s="111" t="e">
        <f t="shared" ref="C32:C48" si="1">IF((1-(($D$8-$D$14)/$D$9))&lt;=(1-$L32),IF($F$30=$H32,ROUND((($I32*100/$D$9)*(($D$8-$D$14)^2))-($J32*($D$8-$D$14))+($K32*$D$9/100),0),0),0)</f>
        <v>#VALUE!</v>
      </c>
      <c r="D32" s="133"/>
      <c r="E32" s="119"/>
      <c r="F32" s="111"/>
      <c r="G32" s="111"/>
      <c r="H32" s="196">
        <v>1</v>
      </c>
      <c r="I32" s="191">
        <v>1.2500000000000001E-2</v>
      </c>
      <c r="J32" s="184">
        <v>2.625</v>
      </c>
      <c r="K32" s="184">
        <v>152.5</v>
      </c>
      <c r="L32" s="184">
        <v>0.6</v>
      </c>
    </row>
    <row r="33" spans="1:12" ht="13.5" hidden="1" customHeight="1" x14ac:dyDescent="0.25">
      <c r="A33" s="182"/>
      <c r="B33" s="109"/>
      <c r="C33" s="111" t="e">
        <f t="shared" si="1"/>
        <v>#VALUE!</v>
      </c>
      <c r="D33" s="133"/>
      <c r="E33" s="119"/>
      <c r="F33" s="111"/>
      <c r="G33" s="111"/>
      <c r="H33" s="183">
        <v>2</v>
      </c>
      <c r="I33" s="192">
        <v>1.0766666666666667E-2</v>
      </c>
      <c r="J33" s="185">
        <v>2.2756666666666665</v>
      </c>
      <c r="K33" s="185">
        <v>138.77666666666667</v>
      </c>
      <c r="L33" s="185">
        <v>0.53333333333333333</v>
      </c>
    </row>
    <row r="34" spans="1:12" ht="13.5" hidden="1" customHeight="1" x14ac:dyDescent="0.25">
      <c r="A34" s="182"/>
      <c r="B34" s="109"/>
      <c r="C34" s="111" t="e">
        <f t="shared" si="1"/>
        <v>#VALUE!</v>
      </c>
      <c r="D34" s="133"/>
      <c r="E34" s="119"/>
      <c r="F34" s="111"/>
      <c r="G34" s="111"/>
      <c r="H34" s="183">
        <v>3</v>
      </c>
      <c r="I34" s="192">
        <v>9.0333333333333342E-3</v>
      </c>
      <c r="J34" s="185">
        <v>1.9263333333333332</v>
      </c>
      <c r="K34" s="185">
        <v>125.05333333333334</v>
      </c>
      <c r="L34" s="185">
        <v>0.46666666666666667</v>
      </c>
    </row>
    <row r="35" spans="1:12" ht="13.5" hidden="1" customHeight="1" x14ac:dyDescent="0.25">
      <c r="A35" s="182"/>
      <c r="B35" s="109"/>
      <c r="C35" s="111" t="e">
        <f t="shared" si="1"/>
        <v>#VALUE!</v>
      </c>
      <c r="D35" s="133"/>
      <c r="E35" s="119"/>
      <c r="F35" s="111"/>
      <c r="G35" s="111"/>
      <c r="H35" s="196">
        <v>4</v>
      </c>
      <c r="I35" s="191">
        <v>7.3000000000000001E-3</v>
      </c>
      <c r="J35" s="184">
        <v>1.577</v>
      </c>
      <c r="K35" s="184">
        <v>111.33</v>
      </c>
      <c r="L35" s="184">
        <v>0.4</v>
      </c>
    </row>
    <row r="36" spans="1:12" ht="13.5" hidden="1" customHeight="1" x14ac:dyDescent="0.25">
      <c r="A36" s="182"/>
      <c r="B36" s="109"/>
      <c r="C36" s="111" t="e">
        <f t="shared" si="1"/>
        <v>#VALUE!</v>
      </c>
      <c r="D36" s="133"/>
      <c r="E36" s="119"/>
      <c r="F36" s="111"/>
      <c r="G36" s="111"/>
      <c r="H36" s="183">
        <v>5</v>
      </c>
      <c r="I36" s="193">
        <v>6.7250000000000001E-3</v>
      </c>
      <c r="J36" s="186">
        <v>1.4577499999999999</v>
      </c>
      <c r="K36" s="186">
        <v>108.4975</v>
      </c>
      <c r="L36" s="186">
        <v>0.35000000000000003</v>
      </c>
    </row>
    <row r="37" spans="1:12" ht="13.5" hidden="1" customHeight="1" x14ac:dyDescent="0.25">
      <c r="A37" s="182"/>
      <c r="B37" s="109"/>
      <c r="C37" s="111" t="e">
        <f t="shared" si="1"/>
        <v>#VALUE!</v>
      </c>
      <c r="D37" s="133"/>
      <c r="E37" s="119"/>
      <c r="F37" s="111"/>
      <c r="G37" s="111"/>
      <c r="H37" s="183">
        <v>6</v>
      </c>
      <c r="I37" s="193">
        <v>6.1500000000000001E-3</v>
      </c>
      <c r="J37" s="186">
        <v>1.3385</v>
      </c>
      <c r="K37" s="186">
        <v>105.66500000000001</v>
      </c>
      <c r="L37" s="186">
        <v>0.30000000000000004</v>
      </c>
    </row>
    <row r="38" spans="1:12" ht="13.5" hidden="1" customHeight="1" x14ac:dyDescent="0.25">
      <c r="A38" s="182"/>
      <c r="B38" s="109"/>
      <c r="C38" s="111" t="e">
        <f t="shared" si="1"/>
        <v>#VALUE!</v>
      </c>
      <c r="D38" s="133"/>
      <c r="E38" s="119"/>
      <c r="F38" s="111"/>
      <c r="G38" s="111"/>
      <c r="H38" s="183">
        <v>7</v>
      </c>
      <c r="I38" s="193">
        <v>5.5750000000000001E-3</v>
      </c>
      <c r="J38" s="186">
        <v>1.2192500000000002</v>
      </c>
      <c r="K38" s="186">
        <v>102.83250000000001</v>
      </c>
      <c r="L38" s="186">
        <v>0.25</v>
      </c>
    </row>
    <row r="39" spans="1:12" ht="13.5" hidden="1" customHeight="1" x14ac:dyDescent="0.25">
      <c r="A39" s="182"/>
      <c r="B39" s="109"/>
      <c r="C39" s="111" t="e">
        <f t="shared" si="1"/>
        <v>#VALUE!</v>
      </c>
      <c r="D39" s="133"/>
      <c r="E39" s="119"/>
      <c r="F39" s="111"/>
      <c r="G39" s="111"/>
      <c r="H39" s="196">
        <v>8</v>
      </c>
      <c r="I39" s="191">
        <v>5.0000000000000001E-3</v>
      </c>
      <c r="J39" s="184">
        <v>1.1000000000000001</v>
      </c>
      <c r="K39" s="184">
        <v>100</v>
      </c>
      <c r="L39" s="184">
        <v>0.2</v>
      </c>
    </row>
    <row r="40" spans="1:12" ht="13.5" hidden="1" customHeight="1" x14ac:dyDescent="0.25">
      <c r="A40" s="182"/>
      <c r="B40" s="109"/>
      <c r="C40" s="111" t="e">
        <f t="shared" si="1"/>
        <v>#VALUE!</v>
      </c>
      <c r="D40" s="133"/>
      <c r="E40" s="119"/>
      <c r="F40" s="111"/>
      <c r="G40" s="111"/>
      <c r="H40" s="183">
        <v>9</v>
      </c>
      <c r="I40" s="194">
        <v>4.6600000000000001E-3</v>
      </c>
      <c r="J40" s="187">
        <v>1.0270000000000001</v>
      </c>
      <c r="K40" s="187">
        <v>99.055999999999997</v>
      </c>
      <c r="L40" s="187">
        <v>0.19</v>
      </c>
    </row>
    <row r="41" spans="1:12" ht="13.5" hidden="1" customHeight="1" x14ac:dyDescent="0.25">
      <c r="A41" s="182"/>
      <c r="B41" s="109"/>
      <c r="C41" s="111" t="e">
        <f t="shared" si="1"/>
        <v>#VALUE!</v>
      </c>
      <c r="D41" s="133"/>
      <c r="E41" s="119"/>
      <c r="F41" s="111"/>
      <c r="G41" s="111"/>
      <c r="H41" s="183">
        <v>10</v>
      </c>
      <c r="I41" s="194">
        <v>4.3200000000000001E-3</v>
      </c>
      <c r="J41" s="187">
        <v>0.95400000000000007</v>
      </c>
      <c r="K41" s="187">
        <v>98.111999999999995</v>
      </c>
      <c r="L41" s="187">
        <v>0.18</v>
      </c>
    </row>
    <row r="42" spans="1:12" ht="13.5" hidden="1" customHeight="1" x14ac:dyDescent="0.25">
      <c r="A42" s="182"/>
      <c r="B42" s="109"/>
      <c r="C42" s="111" t="e">
        <f t="shared" si="1"/>
        <v>#VALUE!</v>
      </c>
      <c r="D42" s="133"/>
      <c r="E42" s="119"/>
      <c r="F42" s="111"/>
      <c r="G42" s="111"/>
      <c r="H42" s="183">
        <v>11</v>
      </c>
      <c r="I42" s="194">
        <v>3.98E-3</v>
      </c>
      <c r="J42" s="187">
        <v>0.88100000000000001</v>
      </c>
      <c r="K42" s="187">
        <v>97.167999999999992</v>
      </c>
      <c r="L42" s="187">
        <v>0.16999999999999998</v>
      </c>
    </row>
    <row r="43" spans="1:12" ht="13.5" hidden="1" customHeight="1" x14ac:dyDescent="0.25">
      <c r="A43" s="182"/>
      <c r="B43" s="109"/>
      <c r="C43" s="111" t="e">
        <f t="shared" si="1"/>
        <v>#VALUE!</v>
      </c>
      <c r="D43" s="133"/>
      <c r="E43" s="119"/>
      <c r="F43" s="111"/>
      <c r="G43" s="111"/>
      <c r="H43" s="183">
        <v>12</v>
      </c>
      <c r="I43" s="194">
        <v>3.64E-3</v>
      </c>
      <c r="J43" s="187">
        <v>0.80800000000000005</v>
      </c>
      <c r="K43" s="187">
        <v>96.22399999999999</v>
      </c>
      <c r="L43" s="187">
        <v>0.15999999999999998</v>
      </c>
    </row>
    <row r="44" spans="1:12" ht="13.5" hidden="1" customHeight="1" x14ac:dyDescent="0.25">
      <c r="A44" s="182"/>
      <c r="B44" s="109"/>
      <c r="C44" s="111" t="e">
        <f t="shared" si="1"/>
        <v>#VALUE!</v>
      </c>
      <c r="D44" s="133"/>
      <c r="E44" s="119"/>
      <c r="F44" s="111"/>
      <c r="G44" s="111"/>
      <c r="H44" s="196">
        <v>13</v>
      </c>
      <c r="I44" s="191">
        <v>3.3E-3</v>
      </c>
      <c r="J44" s="184">
        <v>0.73499999999999999</v>
      </c>
      <c r="K44" s="184">
        <v>95.28</v>
      </c>
      <c r="L44" s="184">
        <v>0.15</v>
      </c>
    </row>
    <row r="45" spans="1:12" ht="13.5" hidden="1" customHeight="1" x14ac:dyDescent="0.25">
      <c r="A45" s="182"/>
      <c r="B45" s="109"/>
      <c r="C45" s="111" t="e">
        <f t="shared" si="1"/>
        <v>#VALUE!</v>
      </c>
      <c r="D45" s="133"/>
      <c r="E45" s="119"/>
      <c r="F45" s="111"/>
      <c r="G45" s="111"/>
      <c r="H45" s="183">
        <v>14</v>
      </c>
      <c r="I45" s="195">
        <v>3.0400000000000002E-3</v>
      </c>
      <c r="J45" s="188">
        <v>0.67599999999999993</v>
      </c>
      <c r="K45" s="188">
        <v>95.064000000000007</v>
      </c>
      <c r="L45" s="188">
        <v>0.14000000000000001</v>
      </c>
    </row>
    <row r="46" spans="1:12" ht="13.5" hidden="1" customHeight="1" x14ac:dyDescent="0.25">
      <c r="A46" s="182"/>
      <c r="B46" s="109"/>
      <c r="C46" s="111" t="e">
        <f t="shared" si="1"/>
        <v>#VALUE!</v>
      </c>
      <c r="D46" s="133"/>
      <c r="E46" s="119"/>
      <c r="F46" s="111"/>
      <c r="G46" s="111"/>
      <c r="H46" s="183">
        <v>15</v>
      </c>
      <c r="I46" s="195">
        <v>2.7800000000000004E-3</v>
      </c>
      <c r="J46" s="188">
        <v>0.61699999999999999</v>
      </c>
      <c r="K46" s="188">
        <v>94.848000000000013</v>
      </c>
      <c r="L46" s="188">
        <v>0.13</v>
      </c>
    </row>
    <row r="47" spans="1:12" ht="13.5" hidden="1" customHeight="1" x14ac:dyDescent="0.25">
      <c r="A47" s="182"/>
      <c r="B47" s="109"/>
      <c r="C47" s="111" t="e">
        <f t="shared" si="1"/>
        <v>#VALUE!</v>
      </c>
      <c r="D47" s="133"/>
      <c r="E47" s="119"/>
      <c r="F47" s="111"/>
      <c r="G47" s="111"/>
      <c r="H47" s="183">
        <v>16</v>
      </c>
      <c r="I47" s="195">
        <v>2.5200000000000001E-3</v>
      </c>
      <c r="J47" s="188">
        <v>0.55800000000000005</v>
      </c>
      <c r="K47" s="188">
        <v>94.632000000000005</v>
      </c>
      <c r="L47" s="188">
        <v>0.12</v>
      </c>
    </row>
    <row r="48" spans="1:12" ht="13.5" hidden="1" customHeight="1" x14ac:dyDescent="0.25">
      <c r="A48" s="182"/>
      <c r="B48" s="109"/>
      <c r="C48" s="111" t="e">
        <f t="shared" si="1"/>
        <v>#VALUE!</v>
      </c>
      <c r="D48" s="133"/>
      <c r="E48" s="119"/>
      <c r="F48" s="111"/>
      <c r="G48" s="111"/>
      <c r="H48" s="183">
        <v>17</v>
      </c>
      <c r="I48" s="195">
        <v>2.2599999999999999E-3</v>
      </c>
      <c r="J48" s="188">
        <v>0.499</v>
      </c>
      <c r="K48" s="188">
        <v>94.415999999999997</v>
      </c>
      <c r="L48" s="188">
        <v>0.10999999999999999</v>
      </c>
    </row>
    <row r="49" spans="1:14" ht="13.5" hidden="1" customHeight="1" x14ac:dyDescent="0.25">
      <c r="A49" s="182"/>
      <c r="B49" s="109"/>
      <c r="C49" s="111" t="e">
        <f>IF((1-(($D$8-$D$14)/$D$9))&lt;=(1-$L49),IF($F$30&gt;=$H49,ROUND((($I49*100/$D$9)*(($D$8-$D$14)^2))-($J49*($D$8-$D$14))+($K49*$D$9/100),0),0),0)</f>
        <v>#VALUE!</v>
      </c>
      <c r="D49" s="133"/>
      <c r="E49" s="119"/>
      <c r="F49" s="111"/>
      <c r="G49" s="111"/>
      <c r="H49" s="196">
        <v>18</v>
      </c>
      <c r="I49" s="191">
        <v>2E-3</v>
      </c>
      <c r="J49" s="184">
        <v>0.44</v>
      </c>
      <c r="K49" s="184">
        <v>94.2</v>
      </c>
      <c r="L49" s="184">
        <v>0.1</v>
      </c>
    </row>
    <row r="50" spans="1:14" ht="13.5" hidden="1" customHeight="1" x14ac:dyDescent="0.25">
      <c r="A50" s="177"/>
      <c r="B50" s="109"/>
      <c r="C50" s="111"/>
      <c r="D50" s="133"/>
      <c r="E50" s="119"/>
      <c r="F50" s="111"/>
      <c r="G50" s="112"/>
      <c r="H50" s="181"/>
      <c r="I50" s="178"/>
      <c r="J50" s="176"/>
      <c r="K50" s="176"/>
      <c r="L50" s="176"/>
      <c r="M50" s="176"/>
      <c r="N50" s="176"/>
    </row>
    <row r="51" spans="1:14" ht="9.75" customHeight="1" thickBot="1" x14ac:dyDescent="0.25">
      <c r="A51" s="103"/>
      <c r="B51" s="109"/>
      <c r="C51" s="111"/>
      <c r="D51" s="133"/>
      <c r="E51" s="119"/>
      <c r="F51" s="111"/>
      <c r="G51" s="112"/>
      <c r="H51" s="103"/>
    </row>
    <row r="52" spans="1:14" ht="34.9" customHeight="1" thickBot="1" x14ac:dyDescent="0.25">
      <c r="A52" s="103"/>
      <c r="B52" s="109"/>
      <c r="C52" s="967" t="s">
        <v>112</v>
      </c>
      <c r="D52" s="959" t="str">
        <f>IF(D9="Bitte KPA ausfüllen","-",IF((1-((D8-D14)/D9))&lt;0.9,IF(F30&gt;=18,"umfassend modernisiert",IF(F30&gt;=13,"überwiegend modernisiert",IF(F30&gt;=8,"mittlerer Modernisierungsgrad",IF(F30&gt;=4,"kleine Modernisierungen im Rahmen der Instandhaltung","-")))),"-"))</f>
        <v>-</v>
      </c>
      <c r="E52" s="119"/>
      <c r="F52" s="111"/>
      <c r="G52" s="112"/>
      <c r="H52" s="103"/>
    </row>
    <row r="53" spans="1:14" ht="12" thickBot="1" x14ac:dyDescent="0.25">
      <c r="A53" s="103"/>
      <c r="B53" s="109"/>
      <c r="C53" s="125"/>
      <c r="D53" s="125"/>
      <c r="E53" s="119"/>
      <c r="F53" s="111"/>
      <c r="G53" s="112"/>
      <c r="H53" s="103"/>
    </row>
    <row r="54" spans="1:14" ht="35.450000000000003" customHeight="1" x14ac:dyDescent="0.2">
      <c r="A54" s="103"/>
      <c r="B54" s="109"/>
      <c r="C54" s="1068" t="s">
        <v>114</v>
      </c>
      <c r="D54" s="968" t="str">
        <f>IF(D18="",IF(D13&gt;1499,IF(KPA!$O$21&lt;&gt;"leer",IF(SUM(C32:C49)&gt;0,KPA!G10+SUM('Fiktives Baujahr'!C32:C49)-'SW-NHK'!F81,D13),"Bitte KPA ausfüllen"),""),YEAR(KPA!G9)-(D9-'Fiktives Baujahr'!D18))</f>
        <v>Bitte KPA ausfüllen</v>
      </c>
      <c r="E54" s="119"/>
      <c r="F54" s="111"/>
      <c r="G54" s="112"/>
      <c r="H54" s="103"/>
    </row>
    <row r="55" spans="1:14" ht="35.450000000000003" customHeight="1" x14ac:dyDescent="0.2">
      <c r="A55" s="103"/>
      <c r="B55" s="109"/>
      <c r="C55" s="1069"/>
      <c r="D55" s="969" t="str">
        <f>IF(D54&lt;D13,"Fiktives Baujahr liegt vor dem tatsächlichen Baujahr. Bitte Angaben prüfen!","")</f>
        <v/>
      </c>
      <c r="E55" s="119"/>
      <c r="F55" s="111"/>
      <c r="G55" s="112"/>
      <c r="H55" s="103"/>
    </row>
    <row r="56" spans="1:14" ht="52.5" customHeight="1" thickBot="1" x14ac:dyDescent="0.25">
      <c r="A56" s="103"/>
      <c r="B56" s="109"/>
      <c r="C56" s="1070"/>
      <c r="D56" s="970" t="str">
        <f>IF(KPA!$O$21&lt;&gt;"leer",IF(D54&gt;D13,"Das fiktive Baujahr wurde automatisch in die Berechnung zur Kaufpreisaufteilung (Arbeitsmappe &gt;KPA&lt;) übertragen!",""),"")</f>
        <v/>
      </c>
      <c r="E56" s="119"/>
      <c r="F56" s="111"/>
      <c r="G56" s="112"/>
      <c r="H56" s="103"/>
    </row>
    <row r="57" spans="1:14" ht="8.25" customHeight="1" x14ac:dyDescent="0.2">
      <c r="A57" s="103"/>
      <c r="B57" s="126"/>
      <c r="C57" s="127"/>
      <c r="D57" s="127"/>
      <c r="E57" s="127"/>
      <c r="F57" s="127"/>
      <c r="G57" s="134" t="str">
        <f>IF(D13&lt;&gt;"","","rote Felder sind Pflichtfelder!")</f>
        <v/>
      </c>
      <c r="H57" s="103"/>
    </row>
    <row r="58" spans="1:14" ht="6" customHeight="1" x14ac:dyDescent="0.2">
      <c r="A58" s="103"/>
      <c r="B58" s="103"/>
      <c r="C58" s="190"/>
      <c r="D58" s="190"/>
      <c r="E58" s="103"/>
      <c r="F58" s="103"/>
      <c r="G58" s="103"/>
      <c r="H58" s="103"/>
    </row>
    <row r="59" spans="1:14" ht="17.45" customHeight="1" x14ac:dyDescent="0.2">
      <c r="A59" s="103"/>
      <c r="B59" s="106"/>
      <c r="C59" s="1062" t="s">
        <v>359</v>
      </c>
      <c r="D59" s="1062"/>
      <c r="E59" s="107"/>
      <c r="F59" s="107"/>
      <c r="G59" s="108"/>
      <c r="H59" s="103"/>
    </row>
    <row r="60" spans="1:14" x14ac:dyDescent="0.2">
      <c r="A60" s="103"/>
      <c r="B60" s="109"/>
      <c r="C60" s="1063"/>
      <c r="D60" s="1063"/>
      <c r="E60" s="111"/>
      <c r="F60" s="111"/>
      <c r="G60" s="112"/>
      <c r="H60" s="103"/>
    </row>
    <row r="61" spans="1:14" x14ac:dyDescent="0.2">
      <c r="A61" s="103"/>
      <c r="B61" s="109"/>
      <c r="C61" s="1063"/>
      <c r="D61" s="1063"/>
      <c r="E61" s="111"/>
      <c r="F61" s="111"/>
      <c r="G61" s="112"/>
      <c r="H61" s="103"/>
    </row>
    <row r="62" spans="1:14" x14ac:dyDescent="0.2">
      <c r="A62" s="103"/>
      <c r="B62" s="109"/>
      <c r="C62" s="1063"/>
      <c r="D62" s="1063"/>
      <c r="E62" s="111"/>
      <c r="F62" s="111"/>
      <c r="G62" s="112"/>
      <c r="H62" s="103"/>
    </row>
    <row r="63" spans="1:14" x14ac:dyDescent="0.2">
      <c r="A63" s="103"/>
      <c r="B63" s="109"/>
      <c r="C63" s="1063"/>
      <c r="D63" s="1063"/>
      <c r="E63" s="111"/>
      <c r="F63" s="111"/>
      <c r="G63" s="112"/>
      <c r="H63" s="103"/>
    </row>
    <row r="64" spans="1:14" x14ac:dyDescent="0.2">
      <c r="A64" s="103"/>
      <c r="B64" s="109"/>
      <c r="C64" s="1063"/>
      <c r="D64" s="1063"/>
      <c r="E64" s="111"/>
      <c r="F64" s="111"/>
      <c r="G64" s="112"/>
      <c r="H64" s="103"/>
    </row>
    <row r="65" spans="1:8" x14ac:dyDescent="0.2">
      <c r="A65" s="103"/>
      <c r="B65" s="109"/>
      <c r="C65" s="1063"/>
      <c r="D65" s="1063"/>
      <c r="E65" s="111"/>
      <c r="F65" s="111"/>
      <c r="G65" s="112"/>
      <c r="H65" s="103"/>
    </row>
    <row r="66" spans="1:8" x14ac:dyDescent="0.2">
      <c r="A66" s="103"/>
      <c r="B66" s="109"/>
      <c r="C66" s="1063"/>
      <c r="D66" s="1063"/>
      <c r="E66" s="111"/>
      <c r="F66" s="111"/>
      <c r="G66" s="112"/>
      <c r="H66" s="103"/>
    </row>
    <row r="67" spans="1:8" x14ac:dyDescent="0.2">
      <c r="A67" s="103"/>
      <c r="B67" s="109"/>
      <c r="C67" s="1063"/>
      <c r="D67" s="1063"/>
      <c r="E67" s="111"/>
      <c r="F67" s="111"/>
      <c r="G67" s="112"/>
      <c r="H67" s="103"/>
    </row>
    <row r="68" spans="1:8" x14ac:dyDescent="0.2">
      <c r="A68" s="103"/>
      <c r="B68" s="109"/>
      <c r="C68" s="1063"/>
      <c r="D68" s="1063"/>
      <c r="E68" s="111"/>
      <c r="F68" s="111"/>
      <c r="G68" s="112"/>
      <c r="H68" s="103"/>
    </row>
    <row r="69" spans="1:8" x14ac:dyDescent="0.2">
      <c r="A69" s="103"/>
      <c r="B69" s="109"/>
      <c r="C69" s="1063"/>
      <c r="D69" s="1063"/>
      <c r="E69" s="111"/>
      <c r="F69" s="111"/>
      <c r="G69" s="112"/>
      <c r="H69" s="103"/>
    </row>
    <row r="70" spans="1:8" x14ac:dyDescent="0.2">
      <c r="A70" s="103"/>
      <c r="B70" s="109"/>
      <c r="C70" s="1063"/>
      <c r="D70" s="1063"/>
      <c r="E70" s="111"/>
      <c r="F70" s="111"/>
      <c r="G70" s="112"/>
      <c r="H70" s="103"/>
    </row>
    <row r="71" spans="1:8" x14ac:dyDescent="0.2">
      <c r="A71" s="103"/>
      <c r="B71" s="109"/>
      <c r="C71" s="1063"/>
      <c r="D71" s="1063"/>
      <c r="E71" s="111"/>
      <c r="F71" s="111"/>
      <c r="G71" s="112"/>
      <c r="H71" s="103"/>
    </row>
    <row r="72" spans="1:8" x14ac:dyDescent="0.2">
      <c r="A72" s="103"/>
      <c r="B72" s="109"/>
      <c r="C72" s="1063"/>
      <c r="D72" s="1063"/>
      <c r="E72" s="111"/>
      <c r="F72" s="111"/>
      <c r="G72" s="112"/>
      <c r="H72" s="103"/>
    </row>
    <row r="73" spans="1:8" x14ac:dyDescent="0.2">
      <c r="A73" s="103"/>
      <c r="B73" s="109"/>
      <c r="C73" s="1063"/>
      <c r="D73" s="1063"/>
      <c r="E73" s="111"/>
      <c r="F73" s="111"/>
      <c r="G73" s="112"/>
      <c r="H73" s="103"/>
    </row>
    <row r="74" spans="1:8" hidden="1" x14ac:dyDescent="0.2">
      <c r="A74" s="103"/>
      <c r="B74" s="109"/>
      <c r="C74" s="1063"/>
      <c r="D74" s="1063"/>
      <c r="E74" s="111"/>
      <c r="F74" s="111"/>
      <c r="G74" s="112"/>
      <c r="H74" s="103"/>
    </row>
    <row r="75" spans="1:8" hidden="1" x14ac:dyDescent="0.2">
      <c r="A75" s="103"/>
      <c r="B75" s="109"/>
      <c r="C75" s="1063"/>
      <c r="D75" s="1063"/>
      <c r="E75" s="111"/>
      <c r="F75" s="111"/>
      <c r="G75" s="112"/>
      <c r="H75" s="103"/>
    </row>
    <row r="76" spans="1:8" hidden="1" x14ac:dyDescent="0.2">
      <c r="A76" s="103"/>
      <c r="B76" s="109"/>
      <c r="C76" s="1063"/>
      <c r="D76" s="1063"/>
      <c r="E76" s="111"/>
      <c r="F76" s="111"/>
      <c r="G76" s="112"/>
      <c r="H76" s="103"/>
    </row>
    <row r="77" spans="1:8" x14ac:dyDescent="0.2">
      <c r="A77" s="103"/>
      <c r="B77" s="126"/>
      <c r="C77" s="1064"/>
      <c r="D77" s="1064"/>
      <c r="E77" s="127"/>
      <c r="F77" s="127"/>
      <c r="G77" s="128"/>
      <c r="H77" s="103"/>
    </row>
    <row r="78" spans="1:8" ht="3" customHeight="1" x14ac:dyDescent="0.2">
      <c r="A78" s="103"/>
      <c r="B78" s="103"/>
      <c r="C78" s="103"/>
      <c r="D78" s="103"/>
      <c r="E78" s="103"/>
      <c r="F78" s="103"/>
      <c r="G78" s="103"/>
      <c r="H78" s="103"/>
    </row>
  </sheetData>
  <sheetProtection algorithmName="SHA-512" hashValue="8WxEzmwkW+2XSJRTWK4CL32t01SpM4gDwtWPgzjc6Oyfh+lpdLv+spQBZyZ7OuWks6z3RpzN1o2PPOAwPllbgQ==" saltValue="sClGayeNK4KNvCA6jYR9qg==" spinCount="100000" sheet="1" selectLockedCells="1"/>
  <customSheetViews>
    <customSheetView guid="{B8FE7C60-7D84-469C-BE86-7AE2888FE41C}" scale="90" showGridLines="0" showRowCol="0" hiddenRows="1" hiddenColumns="1" topLeftCell="A10">
      <selection activeCell="D15" sqref="D15"/>
      <pageMargins left="0.7" right="0.7" top="0.78740157499999996" bottom="0.78740157499999996" header="0.3" footer="0.3"/>
      <pageSetup paperSize="9" scale="61" orientation="portrait" r:id="rId1"/>
      <headerFooter>
        <oddHeader xml:space="preserve">&amp;LNebenrechnung zur Aufteilung eines Grundstückskaufpreises
Ableitung des fiktiven Baujahrs&amp;R&amp;D  &amp;T
</oddHeader>
      </headerFooter>
    </customSheetView>
  </customSheetViews>
  <mergeCells count="6">
    <mergeCell ref="C20:D20"/>
    <mergeCell ref="C59:D77"/>
    <mergeCell ref="B3:G3"/>
    <mergeCell ref="C10:D10"/>
    <mergeCell ref="C54:C56"/>
    <mergeCell ref="C30:D30"/>
  </mergeCells>
  <conditionalFormatting sqref="B59:G77">
    <cfRule type="expression" dxfId="17" priority="1">
      <formula>IF($D$18="",FALSE,TRUE)</formula>
    </cfRule>
  </conditionalFormatting>
  <conditionalFormatting sqref="C17:D18">
    <cfRule type="expression" dxfId="16" priority="4">
      <formula>IF($D$16="Nein",TRUE,FALSE)</formula>
    </cfRule>
  </conditionalFormatting>
  <conditionalFormatting sqref="C20:D52">
    <cfRule type="expression" dxfId="15" priority="2">
      <formula>IF($D$18="",FALSE,TRUE)</formula>
    </cfRule>
  </conditionalFormatting>
  <conditionalFormatting sqref="D16">
    <cfRule type="expression" dxfId="14" priority="5">
      <formula>$A$27="Ausblenden"</formula>
    </cfRule>
    <cfRule type="cellIs" dxfId="13" priority="6" operator="lessThanOrEqual">
      <formula>0</formula>
    </cfRule>
  </conditionalFormatting>
  <conditionalFormatting sqref="D22:D29">
    <cfRule type="expression" dxfId="12" priority="7">
      <formula>IF($D$18="",FALSE,TRUE)</formula>
    </cfRule>
    <cfRule type="cellIs" dxfId="11" priority="10" stopIfTrue="1" operator="equal">
      <formula>""</formula>
    </cfRule>
  </conditionalFormatting>
  <conditionalFormatting sqref="D52">
    <cfRule type="expression" dxfId="10" priority="3">
      <formula>IF($D$18="",FALSE,TRUE)</formula>
    </cfRule>
  </conditionalFormatting>
  <conditionalFormatting sqref="D54:D56">
    <cfRule type="expression" dxfId="9" priority="11">
      <formula>$D$54&gt;$D$13</formula>
    </cfRule>
  </conditionalFormatting>
  <dataValidations count="3">
    <dataValidation type="list" allowBlank="1" showInputMessage="1" showErrorMessage="1" sqref="D22:D29" xr:uid="{00000000-0002-0000-0100-000000000000}">
      <formula1>"ja,nein,teilweise"</formula1>
    </dataValidation>
    <dataValidation type="whole" allowBlank="1" showInputMessage="1" showErrorMessage="1" sqref="D17" xr:uid="{9E2DC2BC-2FAC-4C6D-9263-B1C8534E0336}">
      <formula1>1</formula1>
      <formula2>49</formula2>
    </dataValidation>
    <dataValidation type="list" showInputMessage="1" showErrorMessage="1" sqref="D16" xr:uid="{89C925DB-F856-41C8-8B3F-75943844EF48}">
      <formula1>"Ja,Nein"</formula1>
    </dataValidation>
  </dataValidations>
  <pageMargins left="1.6929133858267718" right="0.70866141732283472" top="0.78740157480314965" bottom="0.78740157480314965" header="0.31496062992125984" footer="0.31496062992125984"/>
  <pageSetup paperSize="9" scale="86" fitToWidth="0" fitToHeight="0" orientation="portrait" horizontalDpi="4294967293" verticalDpi="4294967293" r:id="rId2"/>
  <headerFooter>
    <oddHeader>&amp;LNebenrechnung zur Aufteilung eines Grundstückskaufpreises
&amp;RAbleitung des fiktiven Baujahrs
&amp;D</oddHeader>
    <oddFooter>&amp;LKPA  1a - Kaufpreisaufteilung –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theme="4" tint="0.39997558519241921"/>
  </sheetPr>
  <dimension ref="B2:B18"/>
  <sheetViews>
    <sheetView showGridLines="0" showRowColHeaders="0" topLeftCell="B1" zoomScale="205" zoomScaleNormal="205" zoomScaleSheetLayoutView="145" workbookViewId="0">
      <selection activeCell="B3" sqref="B3"/>
    </sheetView>
  </sheetViews>
  <sheetFormatPr baseColWidth="10" defaultColWidth="11.5703125" defaultRowHeight="12.75" x14ac:dyDescent="0.2"/>
  <cols>
    <col min="1" max="1" customWidth="true" style="74" width="2.7109375"/>
    <col min="2" max="2" customWidth="true" style="74" width="115.28515625"/>
    <col min="3" max="16384" style="74" width="11.5703125"/>
  </cols>
  <sheetData>
    <row r="2" spans="2:2" s="75" customFormat="1" ht="66" customHeight="1" x14ac:dyDescent="0.35">
      <c r="B2" s="369" t="s">
        <v>259</v>
      </c>
    </row>
    <row r="3" spans="2:2" x14ac:dyDescent="0.2">
      <c r="B3" s="197" t="s">
        <v>231</v>
      </c>
    </row>
    <row r="4" spans="2:2" x14ac:dyDescent="0.2">
      <c r="B4" s="197" t="s">
        <v>92</v>
      </c>
    </row>
    <row r="5" spans="2:2" x14ac:dyDescent="0.2">
      <c r="B5" s="197" t="s">
        <v>358</v>
      </c>
    </row>
    <row r="6" spans="2:2" x14ac:dyDescent="0.2">
      <c r="B6" s="197" t="s">
        <v>406</v>
      </c>
    </row>
    <row r="7" spans="2:2" x14ac:dyDescent="0.2">
      <c r="B7" s="197" t="s">
        <v>93</v>
      </c>
    </row>
    <row r="8" spans="2:2" x14ac:dyDescent="0.2">
      <c r="B8" s="197" t="s">
        <v>309</v>
      </c>
    </row>
    <row r="9" spans="2:2" x14ac:dyDescent="0.2">
      <c r="B9" s="197" t="s">
        <v>160</v>
      </c>
    </row>
    <row r="10" spans="2:2" x14ac:dyDescent="0.2">
      <c r="B10" s="197" t="s">
        <v>161</v>
      </c>
    </row>
    <row r="11" spans="2:2" x14ac:dyDescent="0.2">
      <c r="B11" s="197" t="s">
        <v>94</v>
      </c>
    </row>
    <row r="12" spans="2:2" x14ac:dyDescent="0.2">
      <c r="B12" s="197" t="s">
        <v>95</v>
      </c>
    </row>
    <row r="13" spans="2:2" x14ac:dyDescent="0.2">
      <c r="B13" s="197" t="s">
        <v>233</v>
      </c>
    </row>
    <row r="14" spans="2:2" x14ac:dyDescent="0.2">
      <c r="B14" s="197" t="s">
        <v>234</v>
      </c>
    </row>
    <row r="15" spans="2:2" x14ac:dyDescent="0.2">
      <c r="B15" s="197" t="s">
        <v>159</v>
      </c>
    </row>
    <row r="16" spans="2:2" x14ac:dyDescent="0.2">
      <c r="B16" s="197" t="s">
        <v>96</v>
      </c>
    </row>
    <row r="17" spans="2:2" x14ac:dyDescent="0.2">
      <c r="B17" s="197" t="s">
        <v>97</v>
      </c>
    </row>
    <row r="18" spans="2:2" x14ac:dyDescent="0.2">
      <c r="B18" s="197" t="s">
        <v>162</v>
      </c>
    </row>
  </sheetData>
  <sheetProtection algorithmName="SHA-512" hashValue="IzwYzM8syD3xP3fAL1FiWEEfC6NDF2XMifMItMgK+NytuCESh+qxbcrFg5xTPlS74+m7mW+1aeOaP5kdgcAPdg==" saltValue="6y37/Vp+FH2jRWmnHILJNg==" spinCount="100000" sheet="1" selectLockedCells="1"/>
  <customSheetViews>
    <customSheetView guid="{B8FE7C60-7D84-469C-BE86-7AE2888FE41C}" showGridLines="0" showRowCol="0" topLeftCell="A7">
      <pageMargins left="0.7" right="0.7" top="0.78740157499999996" bottom="0.78740157499999996" header="0.3" footer="0.3"/>
    </customSheetView>
  </customSheetViews>
  <hyperlinks>
    <hyperlink ref="B7" r:id="rId1" display="http://www.gutachterausschuss.bremen.de/" xr:uid="{00000000-0004-0000-0200-000001000000}"/>
    <hyperlink ref="B8" r:id="rId2" display="Hamburg  www.geoprtal-hamburg.de" xr:uid="{00000000-0004-0000-0200-000002000000}"/>
    <hyperlink ref="B9" r:id="rId3" xr:uid="{00000000-0004-0000-0200-000003000000}"/>
    <hyperlink ref="B11" r:id="rId4" display="http://www.gag.niedersachsen.de/" xr:uid="{00000000-0004-0000-0200-000004000000}"/>
    <hyperlink ref="B12" r:id="rId5" display="http://www.boris.nrw.de/" xr:uid="{00000000-0004-0000-0200-000005000000}"/>
    <hyperlink ref="B13" r:id="rId6" xr:uid="{00000000-0004-0000-0200-000006000000}"/>
    <hyperlink ref="B14" r:id="rId7" xr:uid="{00000000-0004-0000-0200-000007000000}"/>
    <hyperlink ref="B16" r:id="rId8" display="http://www.lvermgeo.sachsen-anhalt.de/" xr:uid="{00000000-0004-0000-0200-000008000000}"/>
    <hyperlink ref="B17" r:id="rId9" display="http://www.gutachterausschuesse-sh.de/gutachter.html" xr:uid="{00000000-0004-0000-0200-000009000000}"/>
    <hyperlink ref="B18" r:id="rId10" xr:uid="{00000000-0004-0000-0200-00000A000000}"/>
    <hyperlink ref="B4" r:id="rId11" display="http://www.boris-bayern.de/" xr:uid="{00000000-0004-0000-0200-00000B000000}"/>
    <hyperlink ref="B15" r:id="rId12" xr:uid="{00000000-0004-0000-0200-00000C000000}"/>
    <hyperlink ref="B3" r:id="rId13" display="www.zgg-bw.de" xr:uid="{00000000-0004-0000-0200-00000D000000}"/>
    <hyperlink ref="B10" r:id="rId14" display="www.geoportal-mv.de" xr:uid="{00000000-0004-0000-0200-00000E000000}"/>
    <hyperlink ref="B5" r:id="rId15" xr:uid="{00000000-0004-0000-0200-00000F000000}"/>
    <hyperlink ref="B6" r:id="rId16" display="Brandenburg  https://boris.brandenburg.de/" xr:uid="{8098D409-B2B3-4AB2-88A5-99669EC90806}"/>
  </hyperlinks>
  <pageMargins left="0.70866141732283472" right="0.70866141732283472" top="0.78740157480314965" bottom="0.78740157480314965" header="0.31496062992125984" footer="0.31496062992125984"/>
  <pageSetup paperSize="9" scale="110" orientation="landscape"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theme="3" tint="-0.249977111117893"/>
  </sheetPr>
  <dimension ref="A1:Z54"/>
  <sheetViews>
    <sheetView showGridLines="0" showRowColHeaders="0" topLeftCell="A7" zoomScale="130" zoomScaleNormal="130" zoomScaleSheetLayoutView="115" workbookViewId="0">
      <selection activeCell="N12" sqref="N12 L28 N5"/>
    </sheetView>
  </sheetViews>
  <sheetFormatPr baseColWidth="10" defaultColWidth="13.42578125" defaultRowHeight="12.75" x14ac:dyDescent="0.2"/>
  <cols>
    <col min="1" max="1" customWidth="true" style="269" width="6.28515625"/>
    <col min="2" max="2" customWidth="true" style="269" width="2.28515625"/>
    <col min="3" max="3" customWidth="true" style="269" width="3.42578125"/>
    <col min="4" max="4" customWidth="true" style="269" width="4.42578125"/>
    <col min="5" max="5" customWidth="true" style="269" width="5.42578125"/>
    <col min="6" max="6" customWidth="true" style="269" width="3.0"/>
    <col min="7" max="7" customWidth="true" style="269" width="13.28515625"/>
    <col min="8" max="10" customWidth="true" style="269" width="5.5703125"/>
    <col min="11" max="11" customWidth="true" style="269" width="6.0"/>
    <col min="12" max="12" customWidth="true" style="269" width="3.42578125"/>
    <col min="13" max="13" customWidth="true" style="269" width="8.28515625"/>
    <col min="14" max="14" customWidth="true" style="269" width="14.28515625"/>
    <col min="15" max="15" customWidth="true" style="269" width="2.5703125"/>
    <col min="16" max="16" customWidth="true" style="269" width="109.7109375"/>
    <col min="17" max="16384" style="269" width="13.42578125"/>
  </cols>
  <sheetData>
    <row r="1" spans="1:26" s="268" customFormat="1" x14ac:dyDescent="0.2">
      <c r="A1" s="1072" t="s">
        <v>225</v>
      </c>
      <c r="B1" s="1072"/>
      <c r="C1" s="1072"/>
      <c r="D1" s="1072"/>
      <c r="E1" s="1072"/>
    </row>
    <row r="2" spans="1:26" ht="16.899999999999999" customHeight="1" x14ac:dyDescent="0.2">
      <c r="A2" s="1072"/>
      <c r="B2" s="1072"/>
      <c r="C2" s="1072"/>
      <c r="D2" s="1072"/>
      <c r="E2" s="1072"/>
      <c r="F2" s="267"/>
      <c r="G2" s="275" t="s">
        <v>228</v>
      </c>
      <c r="H2" s="267"/>
      <c r="I2" s="267"/>
      <c r="J2" s="267"/>
      <c r="K2" s="267"/>
      <c r="L2" s="267"/>
      <c r="M2" s="267"/>
      <c r="N2" s="267"/>
      <c r="O2" s="267"/>
      <c r="P2" s="268"/>
      <c r="Q2" s="268"/>
      <c r="R2" s="268"/>
      <c r="S2" s="268"/>
      <c r="T2" s="268"/>
      <c r="U2" s="268"/>
      <c r="V2" s="268"/>
      <c r="W2" s="268"/>
      <c r="X2" s="268"/>
      <c r="Y2" s="268"/>
      <c r="Z2" s="268"/>
    </row>
    <row r="3" spans="1:26" ht="6" customHeight="1" x14ac:dyDescent="0.2">
      <c r="A3" s="1072"/>
      <c r="B3" s="1072"/>
      <c r="C3" s="1072"/>
      <c r="D3" s="1072"/>
      <c r="E3" s="1072"/>
      <c r="F3" s="268"/>
      <c r="G3" s="288"/>
      <c r="H3" s="268"/>
      <c r="I3" s="268"/>
      <c r="J3" s="268"/>
      <c r="K3" s="268"/>
      <c r="L3" s="268"/>
      <c r="M3" s="268"/>
      <c r="N3" s="268"/>
      <c r="O3" s="268"/>
      <c r="P3" s="268"/>
      <c r="Q3" s="268"/>
      <c r="R3" s="268"/>
      <c r="S3" s="268"/>
      <c r="T3" s="268"/>
      <c r="U3" s="268"/>
      <c r="V3" s="268"/>
      <c r="W3" s="268"/>
      <c r="X3" s="268"/>
      <c r="Y3" s="268"/>
      <c r="Z3" s="268"/>
    </row>
    <row r="4" spans="1:26" ht="16.899999999999999" customHeight="1" x14ac:dyDescent="0.2">
      <c r="A4" s="1072"/>
      <c r="B4" s="1072"/>
      <c r="C4" s="1072"/>
      <c r="D4" s="1072"/>
      <c r="E4" s="1072"/>
      <c r="F4" s="267"/>
      <c r="G4" s="267"/>
      <c r="H4" s="267"/>
      <c r="I4" s="267"/>
      <c r="J4" s="267"/>
      <c r="K4" s="267"/>
      <c r="L4" s="267"/>
      <c r="M4" s="267"/>
      <c r="N4" s="267"/>
      <c r="O4" s="267"/>
      <c r="P4" s="268"/>
      <c r="Q4" s="268"/>
      <c r="R4" s="268"/>
      <c r="S4" s="268"/>
      <c r="T4" s="268"/>
      <c r="U4" s="268"/>
      <c r="V4" s="268"/>
      <c r="W4" s="268"/>
      <c r="X4" s="268"/>
      <c r="Y4" s="268"/>
      <c r="Z4" s="268"/>
    </row>
    <row r="5" spans="1:26" x14ac:dyDescent="0.2">
      <c r="A5" s="1072"/>
      <c r="B5" s="1072"/>
      <c r="C5" s="1072"/>
      <c r="D5" s="1072"/>
      <c r="E5" s="1072"/>
      <c r="F5" s="270"/>
      <c r="G5" s="270" t="s">
        <v>224</v>
      </c>
      <c r="H5" s="270"/>
      <c r="I5" s="270"/>
      <c r="J5" s="270"/>
      <c r="K5" s="270"/>
      <c r="L5" s="270"/>
      <c r="M5" s="270"/>
      <c r="N5" s="290">
        <v>42430</v>
      </c>
      <c r="O5" s="270"/>
      <c r="P5" s="268"/>
      <c r="Q5" s="268"/>
      <c r="R5" s="268"/>
      <c r="S5" s="268"/>
      <c r="T5" s="268"/>
      <c r="U5" s="268"/>
      <c r="V5" s="268"/>
      <c r="W5" s="268"/>
      <c r="X5" s="268"/>
      <c r="Y5" s="268"/>
      <c r="Z5" s="268"/>
    </row>
    <row r="6" spans="1:26" x14ac:dyDescent="0.2">
      <c r="A6" s="1072"/>
      <c r="B6" s="1072"/>
      <c r="C6" s="1072"/>
      <c r="D6" s="1072"/>
      <c r="E6" s="1072"/>
      <c r="F6" s="270"/>
      <c r="G6" s="270" t="s">
        <v>226</v>
      </c>
      <c r="H6" s="270"/>
      <c r="I6" s="270"/>
      <c r="J6" s="270"/>
      <c r="K6" s="270"/>
      <c r="L6" s="270"/>
      <c r="M6" s="270"/>
      <c r="N6" s="289" t="s">
        <v>222</v>
      </c>
      <c r="O6" s="270"/>
      <c r="P6" s="268"/>
      <c r="Q6" s="268"/>
      <c r="R6" s="268"/>
      <c r="S6" s="268"/>
      <c r="T6" s="268"/>
      <c r="U6" s="268"/>
      <c r="V6" s="268"/>
      <c r="W6" s="268"/>
      <c r="X6" s="268"/>
      <c r="Y6" s="268"/>
      <c r="Z6" s="268"/>
    </row>
    <row r="7" spans="1:26" x14ac:dyDescent="0.2">
      <c r="A7" s="1072"/>
      <c r="B7" s="1072"/>
      <c r="C7" s="1072"/>
      <c r="D7" s="1072"/>
      <c r="E7" s="1072"/>
      <c r="F7" s="270"/>
      <c r="G7" s="270"/>
      <c r="H7" s="270"/>
      <c r="I7" s="270"/>
      <c r="J7" s="270"/>
      <c r="K7" s="270"/>
      <c r="L7" s="270"/>
      <c r="M7" s="270"/>
      <c r="N7" s="271"/>
      <c r="O7" s="270"/>
      <c r="P7" s="268"/>
      <c r="Q7" s="268"/>
      <c r="R7" s="268"/>
      <c r="S7" s="268"/>
      <c r="T7" s="268"/>
      <c r="U7" s="268"/>
      <c r="V7" s="268"/>
      <c r="W7" s="268"/>
      <c r="X7" s="268"/>
      <c r="Y7" s="268"/>
      <c r="Z7" s="268"/>
    </row>
    <row r="8" spans="1:26" x14ac:dyDescent="0.2">
      <c r="A8" s="1072"/>
      <c r="B8" s="1072"/>
      <c r="C8" s="1072"/>
      <c r="D8" s="1072"/>
      <c r="E8" s="1072"/>
      <c r="F8" s="270"/>
      <c r="G8" s="270" t="str">
        <f>IF(N6="Ja","Das Objekt dient Wohnzwecken (Ja/Nein):","")</f>
        <v>Das Objekt dient Wohnzwecken (Ja/Nein):</v>
      </c>
      <c r="H8" s="270"/>
      <c r="I8" s="270"/>
      <c r="J8" s="270"/>
      <c r="K8" s="270"/>
      <c r="L8" s="270"/>
      <c r="M8" s="270"/>
      <c r="N8" s="290" t="s">
        <v>182</v>
      </c>
      <c r="O8" s="270"/>
      <c r="P8" s="268"/>
      <c r="Q8" s="268"/>
      <c r="R8" s="268"/>
      <c r="S8" s="268"/>
      <c r="T8" s="268"/>
      <c r="U8" s="268"/>
      <c r="V8" s="268"/>
      <c r="W8" s="268"/>
      <c r="X8" s="268"/>
      <c r="Y8" s="268"/>
      <c r="Z8" s="268"/>
    </row>
    <row r="9" spans="1:26" ht="2.4500000000000002" customHeight="1" x14ac:dyDescent="0.2">
      <c r="A9" s="1072"/>
      <c r="B9" s="1072"/>
      <c r="C9" s="1072"/>
      <c r="D9" s="1072"/>
      <c r="E9" s="1072"/>
      <c r="F9" s="270"/>
      <c r="G9" s="270"/>
      <c r="H9" s="270"/>
      <c r="I9" s="270"/>
      <c r="J9" s="270"/>
      <c r="K9" s="270"/>
      <c r="L9" s="270"/>
      <c r="M9" s="270"/>
      <c r="N9" s="271"/>
      <c r="O9" s="270"/>
      <c r="P9" s="268"/>
      <c r="Q9" s="268"/>
      <c r="R9" s="268"/>
      <c r="S9" s="268"/>
      <c r="T9" s="268"/>
      <c r="U9" s="268"/>
      <c r="V9" s="268"/>
      <c r="W9" s="268"/>
      <c r="X9" s="268"/>
      <c r="Y9" s="268"/>
      <c r="Z9" s="268"/>
    </row>
    <row r="10" spans="1:26" x14ac:dyDescent="0.2">
      <c r="A10" s="1072"/>
      <c r="B10" s="1072"/>
      <c r="C10" s="1072"/>
      <c r="D10" s="1072"/>
      <c r="E10" s="1072"/>
      <c r="F10" s="270"/>
      <c r="G10" s="270" t="str">
        <f>IF(AND(N8="Nein",N6="Ja"),"Datum des Bauantrags:","")</f>
        <v>Datum des Bauantrags:</v>
      </c>
      <c r="H10" s="270"/>
      <c r="I10" s="270"/>
      <c r="J10" s="270"/>
      <c r="K10" s="270"/>
      <c r="L10" s="270"/>
      <c r="M10" s="270"/>
      <c r="N10" s="290">
        <v>33970</v>
      </c>
      <c r="O10" s="270"/>
      <c r="P10" s="268"/>
      <c r="Q10" s="268"/>
      <c r="R10" s="268"/>
      <c r="S10" s="268"/>
      <c r="T10" s="268"/>
      <c r="U10" s="268"/>
      <c r="V10" s="268"/>
      <c r="W10" s="268"/>
      <c r="X10" s="268"/>
      <c r="Y10" s="268"/>
      <c r="Z10" s="268"/>
    </row>
    <row r="11" spans="1:26" x14ac:dyDescent="0.2">
      <c r="A11" s="1072"/>
      <c r="B11" s="1072"/>
      <c r="C11" s="1072"/>
      <c r="D11" s="1072"/>
      <c r="E11" s="1072"/>
      <c r="F11" s="270"/>
      <c r="G11" s="270"/>
      <c r="H11" s="270"/>
      <c r="I11" s="270"/>
      <c r="J11" s="270"/>
      <c r="K11" s="270"/>
      <c r="L11" s="270"/>
      <c r="M11" s="270"/>
      <c r="N11" s="272"/>
      <c r="O11" s="270"/>
      <c r="P11" s="268"/>
      <c r="Q11" s="268"/>
      <c r="R11" s="268"/>
      <c r="S11" s="268"/>
      <c r="T11" s="268"/>
      <c r="U11" s="268"/>
      <c r="V11" s="268"/>
      <c r="W11" s="268"/>
      <c r="X11" s="268"/>
      <c r="Y11" s="268"/>
      <c r="Z11" s="268"/>
    </row>
    <row r="12" spans="1:26" x14ac:dyDescent="0.2">
      <c r="A12" s="1072"/>
      <c r="B12" s="1072"/>
      <c r="C12" s="1072"/>
      <c r="D12" s="1072"/>
      <c r="E12" s="1072"/>
      <c r="F12" s="270"/>
      <c r="G12" s="270" t="s">
        <v>227</v>
      </c>
      <c r="H12" s="270"/>
      <c r="I12" s="270"/>
      <c r="J12" s="270"/>
      <c r="K12" s="270"/>
      <c r="L12" s="270"/>
      <c r="M12" s="270"/>
      <c r="N12" s="289" t="s">
        <v>182</v>
      </c>
      <c r="O12" s="270"/>
      <c r="P12" s="268"/>
      <c r="Q12" s="268"/>
      <c r="R12" s="268"/>
      <c r="S12" s="268"/>
      <c r="T12" s="268"/>
      <c r="U12" s="268"/>
      <c r="V12" s="268"/>
      <c r="W12" s="268"/>
      <c r="X12" s="268"/>
      <c r="Y12" s="268"/>
      <c r="Z12" s="268"/>
    </row>
    <row r="13" spans="1:26" x14ac:dyDescent="0.2">
      <c r="A13" s="1072"/>
      <c r="B13" s="1072"/>
      <c r="C13" s="1072"/>
      <c r="D13" s="1072"/>
      <c r="E13" s="1072"/>
      <c r="F13" s="270"/>
      <c r="G13" s="270"/>
      <c r="H13" s="270"/>
      <c r="I13" s="270"/>
      <c r="J13" s="270"/>
      <c r="K13" s="270"/>
      <c r="L13" s="270"/>
      <c r="M13" s="270"/>
      <c r="N13" s="272"/>
      <c r="O13" s="270"/>
      <c r="P13" s="268"/>
      <c r="Q13" s="268"/>
      <c r="R13" s="268"/>
      <c r="S13" s="268"/>
      <c r="T13" s="268"/>
      <c r="U13" s="268"/>
      <c r="V13" s="268"/>
      <c r="W13" s="268"/>
      <c r="X13" s="268"/>
      <c r="Y13" s="268"/>
      <c r="Z13" s="268"/>
    </row>
    <row r="14" spans="1:26" ht="13.9" customHeight="1" thickBot="1" x14ac:dyDescent="0.25">
      <c r="A14" s="1073"/>
      <c r="B14" s="1073"/>
      <c r="C14" s="1073"/>
      <c r="D14" s="1073"/>
      <c r="E14" s="1073"/>
      <c r="F14" s="273"/>
      <c r="G14" s="273"/>
      <c r="H14" s="273"/>
      <c r="I14" s="273"/>
      <c r="J14" s="273"/>
      <c r="K14" s="273"/>
      <c r="L14" s="273"/>
      <c r="M14" s="273"/>
      <c r="N14" s="274"/>
      <c r="O14" s="273"/>
      <c r="P14" s="268"/>
      <c r="Q14" s="268"/>
      <c r="R14" s="268"/>
      <c r="S14" s="268"/>
      <c r="T14" s="268"/>
      <c r="U14" s="268"/>
      <c r="V14" s="268"/>
      <c r="W14" s="268"/>
      <c r="X14" s="268"/>
      <c r="Y14" s="268"/>
      <c r="Z14" s="268"/>
    </row>
    <row r="15" spans="1:26" x14ac:dyDescent="0.2">
      <c r="A15" s="1074" t="s">
        <v>223</v>
      </c>
      <c r="B15" s="270"/>
      <c r="C15" s="270"/>
      <c r="D15" s="270"/>
      <c r="E15" s="270"/>
      <c r="F15" s="270"/>
      <c r="G15" s="270"/>
      <c r="H15" s="270"/>
      <c r="I15" s="270"/>
      <c r="J15" s="270"/>
      <c r="K15" s="270"/>
      <c r="L15" s="270"/>
      <c r="M15" s="270"/>
      <c r="N15" s="270"/>
      <c r="O15" s="270"/>
      <c r="P15" s="268"/>
      <c r="Q15" s="268"/>
      <c r="R15" s="268"/>
      <c r="S15" s="268"/>
      <c r="T15" s="268"/>
      <c r="U15" s="268"/>
      <c r="V15" s="268"/>
      <c r="W15" s="268"/>
      <c r="X15" s="268"/>
      <c r="Y15" s="268"/>
      <c r="Z15" s="268"/>
    </row>
    <row r="16" spans="1:26" ht="12.6" customHeight="1" x14ac:dyDescent="0.2">
      <c r="A16" s="1074"/>
      <c r="B16" s="270"/>
      <c r="C16" s="275" t="s">
        <v>221</v>
      </c>
      <c r="D16" s="276"/>
      <c r="E16" s="276"/>
      <c r="F16" s="276"/>
      <c r="G16" s="1093"/>
      <c r="H16" s="1094"/>
      <c r="I16" s="1095"/>
      <c r="J16" s="276"/>
      <c r="K16" s="276"/>
      <c r="L16" s="276"/>
      <c r="M16" s="276"/>
      <c r="N16" s="276"/>
      <c r="O16" s="270"/>
      <c r="P16" s="268"/>
      <c r="Q16" s="268"/>
      <c r="R16" s="268"/>
      <c r="S16" s="268"/>
      <c r="T16" s="268"/>
      <c r="U16" s="268"/>
      <c r="V16" s="268"/>
      <c r="W16" s="268"/>
      <c r="X16" s="268"/>
      <c r="Y16" s="268"/>
      <c r="Z16" s="268"/>
    </row>
    <row r="17" spans="1:26" ht="6" customHeight="1" x14ac:dyDescent="0.2">
      <c r="A17" s="1074"/>
      <c r="B17" s="270"/>
      <c r="C17" s="275"/>
      <c r="D17" s="276"/>
      <c r="E17" s="276"/>
      <c r="F17" s="276"/>
      <c r="G17" s="277"/>
      <c r="H17" s="277"/>
      <c r="I17" s="276"/>
      <c r="J17" s="276"/>
      <c r="K17" s="276"/>
      <c r="L17" s="276"/>
      <c r="M17" s="276"/>
      <c r="N17" s="276"/>
      <c r="O17" s="270"/>
      <c r="P17" s="268"/>
      <c r="Q17" s="268"/>
      <c r="R17" s="268"/>
      <c r="S17" s="268"/>
      <c r="T17" s="268"/>
      <c r="U17" s="268"/>
      <c r="V17" s="268"/>
      <c r="W17" s="268"/>
      <c r="X17" s="268"/>
      <c r="Y17" s="268"/>
      <c r="Z17" s="268"/>
    </row>
    <row r="18" spans="1:26" ht="12.6" customHeight="1" x14ac:dyDescent="0.2">
      <c r="A18" s="1074"/>
      <c r="B18" s="270"/>
      <c r="C18" s="275" t="s">
        <v>178</v>
      </c>
      <c r="D18" s="278"/>
      <c r="E18" s="1090"/>
      <c r="F18" s="1091"/>
      <c r="G18" s="1091"/>
      <c r="H18" s="1091"/>
      <c r="I18" s="1092"/>
      <c r="J18" s="270"/>
      <c r="K18" s="270"/>
      <c r="L18" s="270"/>
      <c r="M18" s="270"/>
      <c r="N18" s="270"/>
      <c r="O18" s="270"/>
      <c r="P18" s="251"/>
      <c r="Q18" s="268"/>
      <c r="R18" s="268"/>
      <c r="S18" s="268"/>
      <c r="T18" s="268"/>
      <c r="U18" s="268"/>
      <c r="V18" s="268"/>
      <c r="W18" s="268"/>
      <c r="X18" s="268"/>
      <c r="Y18" s="268"/>
      <c r="Z18" s="268"/>
    </row>
    <row r="19" spans="1:26" ht="18" x14ac:dyDescent="0.2">
      <c r="A19" s="1074"/>
      <c r="B19" s="270"/>
      <c r="C19" s="276"/>
      <c r="D19" s="276"/>
      <c r="E19" s="276"/>
      <c r="F19" s="276"/>
      <c r="G19" s="276"/>
      <c r="H19" s="276"/>
      <c r="I19" s="276"/>
      <c r="J19" s="276"/>
      <c r="K19" s="276"/>
      <c r="L19" s="276"/>
      <c r="M19" s="276"/>
      <c r="N19" s="276"/>
      <c r="O19" s="270"/>
      <c r="P19" s="268"/>
      <c r="Q19" s="268"/>
      <c r="R19" s="268"/>
      <c r="S19" s="268"/>
      <c r="T19" s="268"/>
      <c r="U19" s="268"/>
      <c r="V19" s="268"/>
      <c r="W19" s="268"/>
      <c r="X19" s="268"/>
      <c r="Y19" s="268"/>
      <c r="Z19" s="268"/>
    </row>
    <row r="20" spans="1:26" x14ac:dyDescent="0.2">
      <c r="A20" s="1074"/>
      <c r="B20" s="270"/>
      <c r="C20" s="270"/>
      <c r="D20" s="270"/>
      <c r="E20" s="270"/>
      <c r="F20" s="270"/>
      <c r="G20" s="270"/>
      <c r="H20" s="270"/>
      <c r="I20" s="270"/>
      <c r="J20" s="270"/>
      <c r="K20" s="270"/>
      <c r="L20" s="270"/>
      <c r="M20" s="270"/>
      <c r="N20" s="270"/>
      <c r="O20" s="270"/>
      <c r="P20" s="268"/>
      <c r="Q20" s="268"/>
      <c r="R20" s="268"/>
      <c r="S20" s="268"/>
      <c r="T20" s="268"/>
      <c r="U20" s="268"/>
      <c r="V20" s="268"/>
      <c r="W20" s="268"/>
      <c r="X20" s="268"/>
      <c r="Y20" s="268"/>
      <c r="Z20" s="268"/>
    </row>
    <row r="21" spans="1:26" ht="12.6" customHeight="1" x14ac:dyDescent="0.25">
      <c r="A21" s="1074"/>
      <c r="B21" s="270"/>
      <c r="C21" s="1076" t="s">
        <v>179</v>
      </c>
      <c r="D21" s="1076"/>
      <c r="E21" s="1076"/>
      <c r="F21" s="1076"/>
      <c r="G21" s="1077"/>
      <c r="H21" s="1078"/>
      <c r="I21" s="1079"/>
      <c r="J21" s="279" t="s">
        <v>180</v>
      </c>
      <c r="K21" s="270"/>
      <c r="L21" s="270"/>
      <c r="M21" s="1090"/>
      <c r="N21" s="1092"/>
      <c r="O21" s="270"/>
      <c r="P21" s="268"/>
      <c r="Q21" s="268"/>
      <c r="R21" s="268"/>
      <c r="S21" s="268"/>
      <c r="T21" s="268"/>
      <c r="U21" s="268"/>
      <c r="V21" s="268"/>
      <c r="W21" s="268"/>
      <c r="X21" s="268"/>
      <c r="Y21" s="268"/>
      <c r="Z21" s="268"/>
    </row>
    <row r="22" spans="1:26" x14ac:dyDescent="0.2">
      <c r="A22" s="1074"/>
      <c r="B22" s="270"/>
      <c r="C22" s="270"/>
      <c r="D22" s="270"/>
      <c r="E22" s="270"/>
      <c r="F22" s="270"/>
      <c r="G22" s="270"/>
      <c r="H22" s="270"/>
      <c r="I22" s="270"/>
      <c r="J22" s="280"/>
      <c r="K22" s="270"/>
      <c r="L22" s="270"/>
      <c r="M22" s="270"/>
      <c r="N22" s="270"/>
      <c r="O22" s="270"/>
      <c r="P22" s="268"/>
      <c r="Q22" s="268"/>
      <c r="R22" s="268"/>
      <c r="S22" s="268"/>
      <c r="T22" s="268"/>
      <c r="U22" s="268"/>
      <c r="V22" s="268"/>
      <c r="W22" s="268"/>
      <c r="X22" s="268"/>
      <c r="Y22" s="268"/>
      <c r="Z22" s="268"/>
    </row>
    <row r="23" spans="1:26" ht="30.2" customHeight="1" x14ac:dyDescent="0.2">
      <c r="A23" s="1074"/>
      <c r="B23" s="270"/>
      <c r="C23" s="1080" t="s">
        <v>181</v>
      </c>
      <c r="D23" s="1080"/>
      <c r="E23" s="1080"/>
      <c r="F23" s="1080"/>
      <c r="G23" s="1080"/>
      <c r="H23" s="1080"/>
      <c r="I23" s="1080"/>
      <c r="J23" s="1080"/>
      <c r="K23" s="1080"/>
      <c r="L23" s="1080"/>
      <c r="M23" s="1080"/>
      <c r="N23" s="1080"/>
      <c r="O23" s="270"/>
      <c r="P23" s="268"/>
      <c r="Q23" s="268"/>
      <c r="R23" s="268"/>
      <c r="S23" s="268"/>
      <c r="T23" s="268"/>
      <c r="U23" s="268"/>
      <c r="V23" s="268"/>
      <c r="W23" s="268"/>
      <c r="X23" s="268"/>
      <c r="Y23" s="268"/>
      <c r="Z23" s="268"/>
    </row>
    <row r="24" spans="1:26" x14ac:dyDescent="0.2">
      <c r="A24" s="1074"/>
      <c r="B24" s="270"/>
      <c r="C24" s="270"/>
      <c r="D24" s="270"/>
      <c r="E24" s="270"/>
      <c r="F24" s="270"/>
      <c r="G24" s="270"/>
      <c r="H24" s="270"/>
      <c r="I24" s="270"/>
      <c r="J24" s="270"/>
      <c r="K24" s="270"/>
      <c r="L24" s="270"/>
      <c r="M24" s="270"/>
      <c r="N24" s="270"/>
      <c r="O24" s="270"/>
      <c r="P24" s="268"/>
      <c r="Q24" s="268"/>
      <c r="R24" s="268"/>
      <c r="S24" s="268"/>
      <c r="T24" s="268"/>
      <c r="U24" s="268"/>
      <c r="V24" s="268"/>
      <c r="W24" s="268"/>
      <c r="X24" s="268"/>
      <c r="Y24" s="268"/>
      <c r="Z24" s="268"/>
    </row>
    <row r="25" spans="1:26" x14ac:dyDescent="0.2">
      <c r="A25" s="1074"/>
      <c r="B25" s="270"/>
      <c r="C25" s="270" t="str">
        <f>IF(OR(N12="Ja",N5=""),"","Der Jahresbetrag der AfA beläuft sich auf")</f>
        <v>Der Jahresbetrag der AfA beläuft sich auf</v>
      </c>
      <c r="D25" s="270"/>
      <c r="E25" s="270"/>
      <c r="F25" s="270"/>
      <c r="G25" s="270"/>
      <c r="H25" s="270"/>
      <c r="I25" s="281">
        <f>IF(OR(N12="Ja",N5=""),"",IF(AND(N6="Ja",N8="Nein",N10&gt;31137),0.03,IF(KPA!G11&lt;1925,0.025,0.02)))</f>
        <v>0.03</v>
      </c>
      <c r="J25" s="270" t="str">
        <f>IF(OR(N12="Ja",N5=""),"","von...")</f>
        <v>von...</v>
      </c>
      <c r="K25" s="270"/>
      <c r="L25" s="270"/>
      <c r="M25" s="270"/>
      <c r="N25" s="282" t="e">
        <f>IF(OR(N12="Ja",N5=""),"",KPA!J121)</f>
        <v>#N/A</v>
      </c>
      <c r="O25" s="270"/>
      <c r="P25" s="268"/>
      <c r="Q25" s="268"/>
      <c r="R25" s="268"/>
      <c r="S25" s="268"/>
      <c r="T25" s="268"/>
      <c r="U25" s="268"/>
      <c r="V25" s="268"/>
      <c r="W25" s="268"/>
      <c r="X25" s="268"/>
      <c r="Y25" s="268"/>
      <c r="Z25" s="268"/>
    </row>
    <row r="26" spans="1:26" x14ac:dyDescent="0.2">
      <c r="A26" s="1074"/>
      <c r="B26" s="270"/>
      <c r="C26" s="270"/>
      <c r="D26" s="270"/>
      <c r="E26" s="270"/>
      <c r="F26" s="270"/>
      <c r="G26" s="270"/>
      <c r="H26" s="270"/>
      <c r="I26" s="270"/>
      <c r="J26" s="270"/>
      <c r="K26" s="270"/>
      <c r="L26" s="270"/>
      <c r="M26" s="283" t="str">
        <f>IF(OR(N12="Ja",N5=""),"","=")</f>
        <v>=</v>
      </c>
      <c r="N26" s="282" t="e">
        <f>IF(OR(N12="Ja",N5=""),"",ROUNDUP(I25*N25,0))</f>
        <v>#N/A</v>
      </c>
      <c r="O26" s="270"/>
      <c r="P26" s="268"/>
      <c r="Q26" s="268"/>
      <c r="R26" s="268"/>
      <c r="S26" s="268"/>
      <c r="T26" s="268"/>
      <c r="U26" s="268"/>
      <c r="V26" s="268"/>
      <c r="W26" s="268"/>
      <c r="X26" s="268"/>
      <c r="Y26" s="268"/>
      <c r="Z26" s="268"/>
    </row>
    <row r="27" spans="1:26" x14ac:dyDescent="0.2">
      <c r="A27" s="1074"/>
      <c r="B27" s="270"/>
      <c r="C27" s="270"/>
      <c r="D27" s="270"/>
      <c r="E27" s="270"/>
      <c r="F27" s="270"/>
      <c r="G27" s="270"/>
      <c r="H27" s="270"/>
      <c r="I27" s="270"/>
      <c r="J27" s="270"/>
      <c r="K27" s="270"/>
      <c r="L27" s="271"/>
      <c r="M27" s="271"/>
      <c r="N27" s="270"/>
      <c r="O27" s="270"/>
      <c r="P27" s="284"/>
      <c r="Q27" s="268"/>
      <c r="R27" s="268"/>
      <c r="S27" s="268"/>
      <c r="T27" s="268"/>
      <c r="U27" s="268"/>
      <c r="V27" s="268"/>
      <c r="W27" s="268"/>
      <c r="X27" s="268"/>
      <c r="Y27" s="268"/>
      <c r="Z27" s="268"/>
    </row>
    <row r="28" spans="1:26" x14ac:dyDescent="0.2">
      <c r="A28" s="1074"/>
      <c r="B28" s="270"/>
      <c r="C28" s="270" t="str">
        <f>IF(N12="Ja","",IF(MONTH(N5)&gt;1,"Für den Veranlagungszeitraum",""))</f>
        <v>Für den Veranlagungszeitraum</v>
      </c>
      <c r="D28" s="270"/>
      <c r="E28" s="270"/>
      <c r="F28" s="270"/>
      <c r="G28" s="285"/>
      <c r="H28" s="286">
        <f>IF(OR(N12="Ja",N5=""),"",IF(MONTH(N5)&gt;1,N5,""))</f>
        <v>42430</v>
      </c>
      <c r="I28" s="270" t="str">
        <f>IF(N12="Ja","",IF(MONTH(N5)&gt;1,"sind zeitanteilig für",""))</f>
        <v>sind zeitanteilig für</v>
      </c>
      <c r="J28" s="270"/>
      <c r="K28" s="270"/>
      <c r="L28" s="270">
        <f>IF(N12="Ja","",12-(MONTH(N5)-1))</f>
        <v>10</v>
      </c>
      <c r="M28" s="270" t="str">
        <f>IF(N12="Ja","",IF(L28&gt;1,IF(MONTH(N5)&gt;1,"Monate ",""),IF(MONTH(N5)&gt;1,"Monat","")))</f>
        <v xml:space="preserve">Monate </v>
      </c>
      <c r="N28" s="282" t="e">
        <f>IF(OR(N12="Ja",N5=""),"",IF(MONTH(N5)&gt;1,ROUNDUP(I25*N25*L28/12,0),""))</f>
        <v>#N/A</v>
      </c>
      <c r="O28" s="270"/>
      <c r="P28" s="268"/>
      <c r="Q28" s="268"/>
      <c r="R28" s="268"/>
      <c r="S28" s="268"/>
      <c r="T28" s="268"/>
      <c r="U28" s="268"/>
      <c r="V28" s="268"/>
      <c r="W28" s="268"/>
      <c r="X28" s="268"/>
      <c r="Y28" s="268"/>
      <c r="Z28" s="268"/>
    </row>
    <row r="29" spans="1:26" x14ac:dyDescent="0.2">
      <c r="A29" s="1074"/>
      <c r="B29" s="270"/>
      <c r="C29" s="270" t="str">
        <f>IF(N12="Ja","",IF(MONTH(N5)&gt;1,"anzusetzen.",""))</f>
        <v>anzusetzen.</v>
      </c>
      <c r="D29" s="270"/>
      <c r="E29" s="270"/>
      <c r="F29" s="270"/>
      <c r="G29" s="285"/>
      <c r="H29" s="286"/>
      <c r="I29" s="270"/>
      <c r="J29" s="270"/>
      <c r="K29" s="270"/>
      <c r="L29" s="270"/>
      <c r="M29" s="270"/>
      <c r="N29" s="282"/>
      <c r="O29" s="270"/>
      <c r="P29" s="268"/>
      <c r="Q29" s="268"/>
      <c r="R29" s="268"/>
      <c r="S29" s="268"/>
      <c r="T29" s="268"/>
      <c r="U29" s="268"/>
      <c r="V29" s="268"/>
      <c r="W29" s="268"/>
      <c r="X29" s="268"/>
      <c r="Y29" s="268"/>
      <c r="Z29" s="268"/>
    </row>
    <row r="30" spans="1:26" x14ac:dyDescent="0.2">
      <c r="A30" s="1074"/>
      <c r="B30" s="270"/>
      <c r="C30" s="287"/>
      <c r="D30" s="270"/>
      <c r="E30" s="270"/>
      <c r="F30" s="270"/>
      <c r="G30" s="270"/>
      <c r="H30" s="270"/>
      <c r="I30" s="270"/>
      <c r="J30" s="270"/>
      <c r="K30" s="270"/>
      <c r="L30" s="270"/>
      <c r="M30" s="270"/>
      <c r="N30" s="270"/>
      <c r="O30" s="270"/>
      <c r="P30" s="268"/>
      <c r="Q30" s="268"/>
      <c r="R30" s="268"/>
      <c r="S30" s="268"/>
      <c r="T30" s="268"/>
      <c r="U30" s="268"/>
      <c r="V30" s="268"/>
      <c r="W30" s="268"/>
      <c r="X30" s="268"/>
      <c r="Y30" s="268"/>
      <c r="Z30" s="268"/>
    </row>
    <row r="31" spans="1:26" x14ac:dyDescent="0.2">
      <c r="A31" s="1074"/>
      <c r="B31" s="270"/>
      <c r="C31" s="1081"/>
      <c r="D31" s="1082"/>
      <c r="E31" s="1082"/>
      <c r="F31" s="1082"/>
      <c r="G31" s="1082"/>
      <c r="H31" s="1082"/>
      <c r="I31" s="1082"/>
      <c r="J31" s="1082"/>
      <c r="K31" s="1082"/>
      <c r="L31" s="1082"/>
      <c r="M31" s="1082"/>
      <c r="N31" s="1083"/>
      <c r="O31" s="270"/>
      <c r="P31" s="268"/>
      <c r="Q31" s="268"/>
      <c r="R31" s="268"/>
      <c r="S31" s="268"/>
      <c r="T31" s="268"/>
      <c r="U31" s="268"/>
      <c r="V31" s="268"/>
      <c r="W31" s="268"/>
      <c r="X31" s="268"/>
      <c r="Y31" s="268"/>
      <c r="Z31" s="268"/>
    </row>
    <row r="32" spans="1:26" x14ac:dyDescent="0.2">
      <c r="A32" s="1074"/>
      <c r="B32" s="270"/>
      <c r="C32" s="1084"/>
      <c r="D32" s="1085"/>
      <c r="E32" s="1085"/>
      <c r="F32" s="1085"/>
      <c r="G32" s="1085"/>
      <c r="H32" s="1085"/>
      <c r="I32" s="1085"/>
      <c r="J32" s="1085"/>
      <c r="K32" s="1085"/>
      <c r="L32" s="1085"/>
      <c r="M32" s="1085"/>
      <c r="N32" s="1086"/>
      <c r="O32" s="270"/>
      <c r="P32" s="268"/>
      <c r="Q32" s="268"/>
      <c r="R32" s="268"/>
      <c r="S32" s="268"/>
      <c r="T32" s="268"/>
      <c r="U32" s="268"/>
      <c r="V32" s="268"/>
      <c r="W32" s="268"/>
      <c r="X32" s="268"/>
      <c r="Y32" s="268"/>
      <c r="Z32" s="268"/>
    </row>
    <row r="33" spans="1:26" x14ac:dyDescent="0.2">
      <c r="A33" s="1074"/>
      <c r="B33" s="270"/>
      <c r="C33" s="1084"/>
      <c r="D33" s="1085"/>
      <c r="E33" s="1085"/>
      <c r="F33" s="1085"/>
      <c r="G33" s="1085"/>
      <c r="H33" s="1085"/>
      <c r="I33" s="1085"/>
      <c r="J33" s="1085"/>
      <c r="K33" s="1085"/>
      <c r="L33" s="1085"/>
      <c r="M33" s="1085"/>
      <c r="N33" s="1086"/>
      <c r="O33" s="270"/>
      <c r="P33" s="268"/>
      <c r="Q33" s="268"/>
      <c r="R33" s="268"/>
      <c r="S33" s="268"/>
      <c r="T33" s="268"/>
      <c r="U33" s="268"/>
      <c r="V33" s="268"/>
      <c r="W33" s="268"/>
      <c r="X33" s="268"/>
      <c r="Y33" s="268"/>
      <c r="Z33" s="268"/>
    </row>
    <row r="34" spans="1:26" x14ac:dyDescent="0.2">
      <c r="A34" s="1074"/>
      <c r="B34" s="270"/>
      <c r="C34" s="1084"/>
      <c r="D34" s="1085"/>
      <c r="E34" s="1085"/>
      <c r="F34" s="1085"/>
      <c r="G34" s="1085"/>
      <c r="H34" s="1085"/>
      <c r="I34" s="1085"/>
      <c r="J34" s="1085"/>
      <c r="K34" s="1085"/>
      <c r="L34" s="1085"/>
      <c r="M34" s="1085"/>
      <c r="N34" s="1086"/>
      <c r="O34" s="270"/>
      <c r="P34" s="268"/>
      <c r="Q34" s="268"/>
      <c r="R34" s="268"/>
      <c r="S34" s="268"/>
      <c r="T34" s="268"/>
      <c r="U34" s="268"/>
      <c r="V34" s="268"/>
      <c r="W34" s="268"/>
      <c r="X34" s="268"/>
      <c r="Y34" s="268"/>
      <c r="Z34" s="268"/>
    </row>
    <row r="35" spans="1:26" x14ac:dyDescent="0.2">
      <c r="A35" s="1074"/>
      <c r="B35" s="270"/>
      <c r="C35" s="1084"/>
      <c r="D35" s="1085"/>
      <c r="E35" s="1085"/>
      <c r="F35" s="1085"/>
      <c r="G35" s="1085"/>
      <c r="H35" s="1085"/>
      <c r="I35" s="1085"/>
      <c r="J35" s="1085"/>
      <c r="K35" s="1085"/>
      <c r="L35" s="1085"/>
      <c r="M35" s="1085"/>
      <c r="N35" s="1086"/>
      <c r="O35" s="270"/>
      <c r="P35" s="268"/>
      <c r="Q35" s="268"/>
      <c r="R35" s="268"/>
      <c r="S35" s="268"/>
      <c r="T35" s="268"/>
      <c r="U35" s="268"/>
      <c r="V35" s="268"/>
      <c r="W35" s="268"/>
      <c r="X35" s="268"/>
      <c r="Y35" s="268"/>
      <c r="Z35" s="268"/>
    </row>
    <row r="36" spans="1:26" x14ac:dyDescent="0.2">
      <c r="A36" s="1074"/>
      <c r="B36" s="270"/>
      <c r="C36" s="1084"/>
      <c r="D36" s="1085"/>
      <c r="E36" s="1085"/>
      <c r="F36" s="1085"/>
      <c r="G36" s="1085"/>
      <c r="H36" s="1085"/>
      <c r="I36" s="1085"/>
      <c r="J36" s="1085"/>
      <c r="K36" s="1085"/>
      <c r="L36" s="1085"/>
      <c r="M36" s="1085"/>
      <c r="N36" s="1086"/>
      <c r="O36" s="270"/>
      <c r="P36" s="268"/>
      <c r="Q36" s="268"/>
      <c r="R36" s="268"/>
      <c r="S36" s="268"/>
      <c r="T36" s="268"/>
      <c r="U36" s="268"/>
      <c r="V36" s="268"/>
      <c r="W36" s="268"/>
      <c r="X36" s="268"/>
      <c r="Y36" s="268"/>
      <c r="Z36" s="268"/>
    </row>
    <row r="37" spans="1:26" x14ac:dyDescent="0.2">
      <c r="A37" s="1074"/>
      <c r="B37" s="270"/>
      <c r="C37" s="1084"/>
      <c r="D37" s="1085"/>
      <c r="E37" s="1085"/>
      <c r="F37" s="1085"/>
      <c r="G37" s="1085"/>
      <c r="H37" s="1085"/>
      <c r="I37" s="1085"/>
      <c r="J37" s="1085"/>
      <c r="K37" s="1085"/>
      <c r="L37" s="1085"/>
      <c r="M37" s="1085"/>
      <c r="N37" s="1086"/>
      <c r="O37" s="270"/>
      <c r="P37" s="268"/>
      <c r="Q37" s="268"/>
      <c r="R37" s="268"/>
      <c r="S37" s="268"/>
      <c r="T37" s="268"/>
      <c r="U37" s="268"/>
      <c r="V37" s="268"/>
      <c r="W37" s="268"/>
      <c r="X37" s="268"/>
      <c r="Y37" s="268"/>
      <c r="Z37" s="268"/>
    </row>
    <row r="38" spans="1:26" x14ac:dyDescent="0.2">
      <c r="A38" s="1074"/>
      <c r="B38" s="270"/>
      <c r="C38" s="1084"/>
      <c r="D38" s="1085"/>
      <c r="E38" s="1085"/>
      <c r="F38" s="1085"/>
      <c r="G38" s="1085"/>
      <c r="H38" s="1085"/>
      <c r="I38" s="1085"/>
      <c r="J38" s="1085"/>
      <c r="K38" s="1085"/>
      <c r="L38" s="1085"/>
      <c r="M38" s="1085"/>
      <c r="N38" s="1086"/>
      <c r="O38" s="270"/>
      <c r="P38" s="268"/>
      <c r="Q38" s="268"/>
      <c r="R38" s="268"/>
      <c r="S38" s="268"/>
      <c r="T38" s="268"/>
      <c r="U38" s="268"/>
      <c r="V38" s="268"/>
      <c r="W38" s="268"/>
      <c r="X38" s="268"/>
      <c r="Y38" s="268"/>
      <c r="Z38" s="268"/>
    </row>
    <row r="39" spans="1:26" x14ac:dyDescent="0.2">
      <c r="A39" s="1074"/>
      <c r="B39" s="270"/>
      <c r="C39" s="1084"/>
      <c r="D39" s="1085"/>
      <c r="E39" s="1085"/>
      <c r="F39" s="1085"/>
      <c r="G39" s="1085"/>
      <c r="H39" s="1085"/>
      <c r="I39" s="1085"/>
      <c r="J39" s="1085"/>
      <c r="K39" s="1085"/>
      <c r="L39" s="1085"/>
      <c r="M39" s="1085"/>
      <c r="N39" s="1086"/>
      <c r="O39" s="270"/>
      <c r="P39" s="268"/>
      <c r="Q39" s="268"/>
      <c r="R39" s="268"/>
      <c r="S39" s="268"/>
      <c r="T39" s="268"/>
      <c r="U39" s="268"/>
      <c r="V39" s="268"/>
      <c r="W39" s="268"/>
      <c r="X39" s="268"/>
      <c r="Y39" s="268"/>
      <c r="Z39" s="268"/>
    </row>
    <row r="40" spans="1:26" x14ac:dyDescent="0.2">
      <c r="A40" s="1074"/>
      <c r="B40" s="270"/>
      <c r="C40" s="1084"/>
      <c r="D40" s="1085"/>
      <c r="E40" s="1085"/>
      <c r="F40" s="1085"/>
      <c r="G40" s="1085"/>
      <c r="H40" s="1085"/>
      <c r="I40" s="1085"/>
      <c r="J40" s="1085"/>
      <c r="K40" s="1085"/>
      <c r="L40" s="1085"/>
      <c r="M40" s="1085"/>
      <c r="N40" s="1086"/>
      <c r="O40" s="270"/>
      <c r="P40" s="268"/>
      <c r="Q40" s="268"/>
      <c r="R40" s="268"/>
      <c r="S40" s="268"/>
      <c r="T40" s="268"/>
      <c r="U40" s="268"/>
      <c r="V40" s="268"/>
      <c r="W40" s="268"/>
      <c r="X40" s="268"/>
      <c r="Y40" s="268"/>
      <c r="Z40" s="268"/>
    </row>
    <row r="41" spans="1:26" x14ac:dyDescent="0.2">
      <c r="A41" s="1074"/>
      <c r="B41" s="270"/>
      <c r="C41" s="1084"/>
      <c r="D41" s="1085"/>
      <c r="E41" s="1085"/>
      <c r="F41" s="1085"/>
      <c r="G41" s="1085"/>
      <c r="H41" s="1085"/>
      <c r="I41" s="1085"/>
      <c r="J41" s="1085"/>
      <c r="K41" s="1085"/>
      <c r="L41" s="1085"/>
      <c r="M41" s="1085"/>
      <c r="N41" s="1086"/>
      <c r="O41" s="270"/>
      <c r="P41" s="268"/>
      <c r="Q41" s="268"/>
      <c r="R41" s="268"/>
      <c r="S41" s="268"/>
      <c r="T41" s="268"/>
      <c r="U41" s="268"/>
      <c r="V41" s="268"/>
      <c r="W41" s="268"/>
      <c r="X41" s="268"/>
      <c r="Y41" s="268"/>
      <c r="Z41" s="268"/>
    </row>
    <row r="42" spans="1:26" x14ac:dyDescent="0.2">
      <c r="A42" s="1074"/>
      <c r="B42" s="270"/>
      <c r="C42" s="1084"/>
      <c r="D42" s="1085"/>
      <c r="E42" s="1085"/>
      <c r="F42" s="1085"/>
      <c r="G42" s="1085"/>
      <c r="H42" s="1085"/>
      <c r="I42" s="1085"/>
      <c r="J42" s="1085"/>
      <c r="K42" s="1085"/>
      <c r="L42" s="1085"/>
      <c r="M42" s="1085"/>
      <c r="N42" s="1086"/>
      <c r="O42" s="270"/>
      <c r="P42" s="268"/>
      <c r="Q42" s="268"/>
      <c r="R42" s="268"/>
      <c r="S42" s="268"/>
      <c r="T42" s="268"/>
      <c r="U42" s="268"/>
      <c r="V42" s="268"/>
      <c r="W42" s="268"/>
      <c r="X42" s="268"/>
      <c r="Y42" s="268"/>
      <c r="Z42" s="268"/>
    </row>
    <row r="43" spans="1:26" x14ac:dyDescent="0.2">
      <c r="A43" s="1074"/>
      <c r="B43" s="270"/>
      <c r="C43" s="1084"/>
      <c r="D43" s="1085"/>
      <c r="E43" s="1085"/>
      <c r="F43" s="1085"/>
      <c r="G43" s="1085"/>
      <c r="H43" s="1085"/>
      <c r="I43" s="1085"/>
      <c r="J43" s="1085"/>
      <c r="K43" s="1085"/>
      <c r="L43" s="1085"/>
      <c r="M43" s="1085"/>
      <c r="N43" s="1086"/>
      <c r="O43" s="270"/>
      <c r="P43" s="268"/>
      <c r="Q43" s="268"/>
      <c r="R43" s="268"/>
      <c r="S43" s="268"/>
      <c r="T43" s="268"/>
      <c r="U43" s="268"/>
      <c r="V43" s="268"/>
      <c r="W43" s="268"/>
      <c r="X43" s="268"/>
      <c r="Y43" s="268"/>
      <c r="Z43" s="268"/>
    </row>
    <row r="44" spans="1:26" x14ac:dyDescent="0.2">
      <c r="A44" s="1074"/>
      <c r="B44" s="270"/>
      <c r="C44" s="1084"/>
      <c r="D44" s="1085"/>
      <c r="E44" s="1085"/>
      <c r="F44" s="1085"/>
      <c r="G44" s="1085"/>
      <c r="H44" s="1085"/>
      <c r="I44" s="1085"/>
      <c r="J44" s="1085"/>
      <c r="K44" s="1085"/>
      <c r="L44" s="1085"/>
      <c r="M44" s="1085"/>
      <c r="N44" s="1086"/>
      <c r="O44" s="270"/>
      <c r="P44" s="268"/>
      <c r="Q44" s="268"/>
      <c r="R44" s="268"/>
      <c r="S44" s="268"/>
      <c r="T44" s="268"/>
      <c r="U44" s="268"/>
      <c r="V44" s="268"/>
      <c r="W44" s="268"/>
      <c r="X44" s="268"/>
      <c r="Y44" s="268"/>
      <c r="Z44" s="268"/>
    </row>
    <row r="45" spans="1:26" x14ac:dyDescent="0.2">
      <c r="A45" s="1074"/>
      <c r="B45" s="270"/>
      <c r="C45" s="1084"/>
      <c r="D45" s="1085"/>
      <c r="E45" s="1085"/>
      <c r="F45" s="1085"/>
      <c r="G45" s="1085"/>
      <c r="H45" s="1085"/>
      <c r="I45" s="1085"/>
      <c r="J45" s="1085"/>
      <c r="K45" s="1085"/>
      <c r="L45" s="1085"/>
      <c r="M45" s="1085"/>
      <c r="N45" s="1086"/>
      <c r="O45" s="270"/>
      <c r="P45" s="268"/>
      <c r="Q45" s="268"/>
      <c r="R45" s="268"/>
      <c r="S45" s="268"/>
      <c r="T45" s="268"/>
      <c r="U45" s="268"/>
      <c r="V45" s="268"/>
      <c r="W45" s="268"/>
      <c r="X45" s="268"/>
      <c r="Y45" s="268"/>
      <c r="Z45" s="268"/>
    </row>
    <row r="46" spans="1:26" x14ac:dyDescent="0.2">
      <c r="A46" s="1074"/>
      <c r="B46" s="270"/>
      <c r="C46" s="1084"/>
      <c r="D46" s="1085"/>
      <c r="E46" s="1085"/>
      <c r="F46" s="1085"/>
      <c r="G46" s="1085"/>
      <c r="H46" s="1085"/>
      <c r="I46" s="1085"/>
      <c r="J46" s="1085"/>
      <c r="K46" s="1085"/>
      <c r="L46" s="1085"/>
      <c r="M46" s="1085"/>
      <c r="N46" s="1086"/>
      <c r="O46" s="270"/>
      <c r="P46" s="268"/>
      <c r="Q46" s="268"/>
      <c r="R46" s="268"/>
      <c r="S46" s="268"/>
      <c r="T46" s="268"/>
      <c r="U46" s="268"/>
      <c r="V46" s="268"/>
      <c r="W46" s="268"/>
      <c r="X46" s="268"/>
      <c r="Y46" s="268"/>
      <c r="Z46" s="268"/>
    </row>
    <row r="47" spans="1:26" x14ac:dyDescent="0.2">
      <c r="A47" s="1074"/>
      <c r="B47" s="270"/>
      <c r="C47" s="1084"/>
      <c r="D47" s="1085"/>
      <c r="E47" s="1085"/>
      <c r="F47" s="1085"/>
      <c r="G47" s="1085"/>
      <c r="H47" s="1085"/>
      <c r="I47" s="1085"/>
      <c r="J47" s="1085"/>
      <c r="K47" s="1085"/>
      <c r="L47" s="1085"/>
      <c r="M47" s="1085"/>
      <c r="N47" s="1086"/>
      <c r="O47" s="270"/>
      <c r="P47" s="268"/>
      <c r="Q47" s="268"/>
      <c r="R47" s="268"/>
      <c r="S47" s="268"/>
      <c r="T47" s="268"/>
      <c r="U47" s="268"/>
      <c r="V47" s="268"/>
      <c r="W47" s="268"/>
      <c r="X47" s="268"/>
      <c r="Y47" s="268"/>
      <c r="Z47" s="268"/>
    </row>
    <row r="48" spans="1:26" x14ac:dyDescent="0.2">
      <c r="A48" s="1074"/>
      <c r="B48" s="270"/>
      <c r="C48" s="1084"/>
      <c r="D48" s="1085"/>
      <c r="E48" s="1085"/>
      <c r="F48" s="1085"/>
      <c r="G48" s="1085"/>
      <c r="H48" s="1085"/>
      <c r="I48" s="1085"/>
      <c r="J48" s="1085"/>
      <c r="K48" s="1085"/>
      <c r="L48" s="1085"/>
      <c r="M48" s="1085"/>
      <c r="N48" s="1086"/>
      <c r="O48" s="270"/>
      <c r="P48" s="268"/>
      <c r="Q48" s="268"/>
      <c r="R48" s="268"/>
      <c r="S48" s="268"/>
      <c r="T48" s="268"/>
      <c r="U48" s="268"/>
      <c r="V48" s="268"/>
      <c r="W48" s="268"/>
      <c r="X48" s="268"/>
      <c r="Y48" s="268"/>
      <c r="Z48" s="268"/>
    </row>
    <row r="49" spans="1:26" x14ac:dyDescent="0.2">
      <c r="A49" s="1074"/>
      <c r="B49" s="270"/>
      <c r="C49" s="1084"/>
      <c r="D49" s="1085"/>
      <c r="E49" s="1085"/>
      <c r="F49" s="1085"/>
      <c r="G49" s="1085"/>
      <c r="H49" s="1085"/>
      <c r="I49" s="1085"/>
      <c r="J49" s="1085"/>
      <c r="K49" s="1085"/>
      <c r="L49" s="1085"/>
      <c r="M49" s="1085"/>
      <c r="N49" s="1086"/>
      <c r="O49" s="270"/>
      <c r="P49" s="268"/>
      <c r="Q49" s="268"/>
      <c r="R49" s="268"/>
      <c r="S49" s="268"/>
      <c r="T49" s="268"/>
      <c r="U49" s="268"/>
      <c r="V49" s="268"/>
      <c r="W49" s="268"/>
      <c r="X49" s="268"/>
      <c r="Y49" s="268"/>
      <c r="Z49" s="268"/>
    </row>
    <row r="50" spans="1:26" x14ac:dyDescent="0.2">
      <c r="A50" s="1074"/>
      <c r="B50" s="270"/>
      <c r="C50" s="1084"/>
      <c r="D50" s="1085"/>
      <c r="E50" s="1085"/>
      <c r="F50" s="1085"/>
      <c r="G50" s="1085"/>
      <c r="H50" s="1085"/>
      <c r="I50" s="1085"/>
      <c r="J50" s="1085"/>
      <c r="K50" s="1085"/>
      <c r="L50" s="1085"/>
      <c r="M50" s="1085"/>
      <c r="N50" s="1086"/>
      <c r="O50" s="270"/>
      <c r="P50" s="268"/>
      <c r="Q50" s="268"/>
      <c r="R50" s="268"/>
      <c r="S50" s="268"/>
      <c r="T50" s="268"/>
      <c r="U50" s="268"/>
      <c r="V50" s="268"/>
      <c r="W50" s="268"/>
      <c r="X50" s="268"/>
      <c r="Y50" s="268"/>
      <c r="Z50" s="268"/>
    </row>
    <row r="51" spans="1:26" x14ac:dyDescent="0.2">
      <c r="A51" s="1074"/>
      <c r="B51" s="270"/>
      <c r="C51" s="1084"/>
      <c r="D51" s="1085"/>
      <c r="E51" s="1085"/>
      <c r="F51" s="1085"/>
      <c r="G51" s="1085"/>
      <c r="H51" s="1085"/>
      <c r="I51" s="1085"/>
      <c r="J51" s="1085"/>
      <c r="K51" s="1085"/>
      <c r="L51" s="1085"/>
      <c r="M51" s="1085"/>
      <c r="N51" s="1086"/>
      <c r="O51" s="270"/>
      <c r="P51" s="268"/>
      <c r="Q51" s="268"/>
      <c r="R51" s="268"/>
      <c r="S51" s="268"/>
      <c r="T51" s="268"/>
      <c r="U51" s="268"/>
      <c r="V51" s="268"/>
      <c r="W51" s="268"/>
      <c r="X51" s="268"/>
      <c r="Y51" s="268"/>
      <c r="Z51" s="268"/>
    </row>
    <row r="52" spans="1:26" x14ac:dyDescent="0.2">
      <c r="A52" s="1074"/>
      <c r="B52" s="270"/>
      <c r="C52" s="1087"/>
      <c r="D52" s="1088"/>
      <c r="E52" s="1088"/>
      <c r="F52" s="1088"/>
      <c r="G52" s="1088"/>
      <c r="H52" s="1088"/>
      <c r="I52" s="1088"/>
      <c r="J52" s="1088"/>
      <c r="K52" s="1088"/>
      <c r="L52" s="1088"/>
      <c r="M52" s="1088"/>
      <c r="N52" s="1089"/>
      <c r="O52" s="270"/>
      <c r="P52" s="268"/>
      <c r="Q52" s="268"/>
      <c r="R52" s="268"/>
      <c r="S52" s="268"/>
      <c r="T52" s="268"/>
      <c r="U52" s="268"/>
      <c r="V52" s="268"/>
      <c r="W52" s="268"/>
      <c r="X52" s="268"/>
      <c r="Y52" s="268"/>
      <c r="Z52" s="268"/>
    </row>
    <row r="53" spans="1:26" ht="13.5" thickBot="1" x14ac:dyDescent="0.25">
      <c r="A53" s="1075"/>
      <c r="B53" s="270"/>
      <c r="C53" s="270"/>
      <c r="D53" s="270"/>
      <c r="E53" s="270"/>
      <c r="F53" s="270"/>
      <c r="G53" s="270"/>
      <c r="H53" s="270"/>
      <c r="I53" s="270"/>
      <c r="J53" s="270"/>
      <c r="K53" s="270"/>
      <c r="L53" s="270"/>
      <c r="M53" s="270"/>
      <c r="N53" s="270"/>
      <c r="O53" s="270"/>
      <c r="P53" s="268"/>
      <c r="Q53" s="268"/>
      <c r="R53" s="268"/>
      <c r="S53" s="268"/>
      <c r="T53" s="268"/>
      <c r="U53" s="268"/>
      <c r="V53" s="268"/>
      <c r="W53" s="268"/>
      <c r="X53" s="268"/>
      <c r="Y53" s="268"/>
      <c r="Z53" s="268"/>
    </row>
    <row r="54" spans="1:26" s="268" customFormat="1" ht="409.15" customHeight="1" x14ac:dyDescent="0.2"/>
  </sheetData>
  <sheetProtection algorithmName="SHA-512" hashValue="vhbRNWypLPraxlnY6Ww/o5pCmmX2RIYKzL1YfXSwhpER6mh1sNq7LSyYSEC/2ZcZdVKxgfIXQSTsclP1donrVQ==" saltValue="wKh74oKCzd5JKbYVkL2tGw==" spinCount="100000" sheet="1" objects="1" scenarios="1"/>
  <mergeCells count="9">
    <mergeCell ref="A1:E14"/>
    <mergeCell ref="A15:A53"/>
    <mergeCell ref="C21:F21"/>
    <mergeCell ref="G21:I21"/>
    <mergeCell ref="C23:N23"/>
    <mergeCell ref="C31:N52"/>
    <mergeCell ref="E18:I18"/>
    <mergeCell ref="M21:N21"/>
    <mergeCell ref="G16:I16"/>
  </mergeCells>
  <conditionalFormatting sqref="B24:O24">
    <cfRule type="expression" dxfId="8" priority="4" stopIfTrue="1">
      <formula>IF($N$12="j",1,0)</formula>
    </cfRule>
  </conditionalFormatting>
  <conditionalFormatting sqref="B25:O29">
    <cfRule type="expression" dxfId="7" priority="3" stopIfTrue="1">
      <formula>IF($N$12="Ja",1,0)</formula>
    </cfRule>
  </conditionalFormatting>
  <conditionalFormatting sqref="N8">
    <cfRule type="expression" dxfId="6" priority="2" stopIfTrue="1">
      <formula>IF($N$6="Ja",0,1)</formula>
    </cfRule>
  </conditionalFormatting>
  <conditionalFormatting sqref="N10">
    <cfRule type="expression" dxfId="5" priority="1">
      <formula>IF($N$8="Nein",0,1)</formula>
    </cfRule>
    <cfRule type="expression" dxfId="4" priority="112" stopIfTrue="1">
      <formula>IF($N$6="Ja",0,1)</formula>
    </cfRule>
  </conditionalFormatting>
  <dataValidations count="1">
    <dataValidation type="list" operator="equal" allowBlank="1" sqref="N6 N8:N9 N12" xr:uid="{00000000-0002-0000-0300-000000000000}">
      <formula1>"Ja,Nein"</formula1>
    </dataValidation>
  </dataValidations>
  <pageMargins left="0.70866141732283472" right="0.70866141732283472" top="0.78740157480314965" bottom="0.78740157480314965" header="0.31496062992125984" footer="0.31496062992125984"/>
  <pageSetup paperSize="9" scale="90" orientation="portrait" horizontalDpi="4294967293" verticalDpi="4294967293" r:id="rId1"/>
  <headerFooter>
    <oddHeader>&amp;CAfA-Berechnung</oddHeader>
    <oddFooter>&amp;L2020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4" tint="-0.249977111117893"/>
  </sheetPr>
  <dimension ref="A1:N110"/>
  <sheetViews>
    <sheetView showGridLines="0" showRowColHeaders="0" view="pageBreakPreview" topLeftCell="A10" zoomScale="205" zoomScaleNormal="85" zoomScaleSheetLayoutView="205" workbookViewId="0">
      <selection activeCell="E33" sqref="E33"/>
    </sheetView>
  </sheetViews>
  <sheetFormatPr baseColWidth="10" defaultColWidth="14.140625" defaultRowHeight="12.75" x14ac:dyDescent="0.2"/>
  <cols>
    <col min="1" max="1" customWidth="true" width="3.28515625"/>
    <col min="2" max="2" customWidth="true" width="2.7109375"/>
    <col min="3" max="3" customWidth="true" width="7.28515625"/>
    <col min="5" max="5" customWidth="true" width="16.7109375"/>
    <col min="6" max="6" customWidth="true" width="6.0"/>
    <col min="7" max="7" customWidth="true" width="7.28515625"/>
    <col min="8" max="8" customWidth="true" width="12.42578125"/>
    <col min="9" max="10" customWidth="true" width="12.85546875"/>
    <col min="11" max="11" customWidth="true" style="214" width="3.85546875"/>
    <col min="12" max="12" customWidth="true" width="12.28515625"/>
    <col min="13" max="13" customWidth="true" width="3.28515625"/>
    <col min="14" max="14" customWidth="true" style="252" width="122.0"/>
  </cols>
  <sheetData>
    <row r="1" spans="1:13" x14ac:dyDescent="0.2">
      <c r="A1" s="216"/>
      <c r="B1" s="216"/>
      <c r="C1" s="216"/>
      <c r="D1" s="216"/>
      <c r="E1" s="216"/>
      <c r="F1" s="216"/>
      <c r="G1" s="216"/>
      <c r="H1" s="216"/>
      <c r="I1" s="216"/>
      <c r="J1" s="216"/>
      <c r="K1" s="217"/>
      <c r="L1" s="216"/>
      <c r="M1" s="216"/>
    </row>
    <row r="2" spans="1:13" ht="18" x14ac:dyDescent="0.25">
      <c r="A2" s="216"/>
      <c r="B2" s="219" t="s">
        <v>217</v>
      </c>
      <c r="C2" s="218"/>
      <c r="D2" s="218"/>
      <c r="E2" s="218"/>
      <c r="F2" s="218"/>
      <c r="G2" s="218"/>
      <c r="H2" s="218"/>
      <c r="I2" s="218"/>
      <c r="J2" s="220"/>
      <c r="K2" s="218"/>
      <c r="L2" s="216"/>
      <c r="M2" s="216"/>
    </row>
    <row r="3" spans="1:13" ht="18" x14ac:dyDescent="0.25">
      <c r="A3" s="216"/>
      <c r="B3" s="219" t="str">
        <f>"zu Objekt &gt;"&amp;KPA!E5&amp;"&lt;"</f>
        <v>zu Objekt &gt;&lt;</v>
      </c>
      <c r="C3" s="219"/>
      <c r="D3" s="219"/>
      <c r="E3" s="219"/>
      <c r="F3" s="219"/>
      <c r="G3" s="219"/>
      <c r="H3" s="219"/>
      <c r="I3" s="219"/>
      <c r="J3" s="219"/>
      <c r="K3" s="219"/>
      <c r="L3" s="216"/>
      <c r="M3" s="216"/>
    </row>
    <row r="4" spans="1:13" x14ac:dyDescent="0.2">
      <c r="A4" s="216"/>
      <c r="B4" s="216"/>
      <c r="C4" s="216"/>
      <c r="D4" s="216"/>
      <c r="E4" s="216"/>
      <c r="F4" s="216"/>
      <c r="G4" s="216"/>
      <c r="H4" s="216"/>
      <c r="I4" s="216"/>
      <c r="J4" s="216"/>
      <c r="K4" s="217"/>
      <c r="L4" s="216"/>
      <c r="M4" s="216"/>
    </row>
    <row r="5" spans="1:13" x14ac:dyDescent="0.2">
      <c r="A5" s="216"/>
      <c r="B5" s="221"/>
      <c r="C5" s="222"/>
      <c r="D5" s="222"/>
      <c r="E5" s="222"/>
      <c r="F5" s="222"/>
      <c r="G5" s="222"/>
      <c r="H5" s="222"/>
      <c r="I5" s="222"/>
      <c r="J5" s="222"/>
      <c r="K5" s="223"/>
      <c r="L5" s="224"/>
      <c r="M5" s="216"/>
    </row>
    <row r="6" spans="1:13" x14ac:dyDescent="0.2">
      <c r="A6" s="216"/>
      <c r="B6" s="225" t="s">
        <v>213</v>
      </c>
      <c r="C6" s="226" t="s">
        <v>209</v>
      </c>
      <c r="D6" s="226"/>
      <c r="E6" s="226"/>
      <c r="F6" s="226"/>
      <c r="G6" s="226"/>
      <c r="H6" s="226"/>
      <c r="I6" s="226"/>
      <c r="J6" s="227" t="s">
        <v>208</v>
      </c>
      <c r="K6" s="227"/>
      <c r="L6" s="255" t="e">
        <f>ROUND(VLOOKUP(KPA!O7,'SW-NHK'!D6:O70,IF(KPA!F11&lt;0,2,IF(KPA!F11&lt;1995,3,IF(KPA!F11&lt;2005,4,5))),FALSE),0)</f>
        <v>#N/A</v>
      </c>
      <c r="M6" s="216"/>
    </row>
    <row r="7" spans="1:13" x14ac:dyDescent="0.2">
      <c r="A7" s="216"/>
      <c r="B7" s="225"/>
      <c r="C7" s="226" t="s">
        <v>184</v>
      </c>
      <c r="D7" s="226"/>
      <c r="E7" s="226"/>
      <c r="F7" s="226"/>
      <c r="G7" s="226"/>
      <c r="H7" s="226"/>
      <c r="I7" s="226"/>
      <c r="J7" s="228"/>
      <c r="K7" s="227"/>
      <c r="L7" s="231"/>
      <c r="M7" s="216"/>
    </row>
    <row r="8" spans="1:13" x14ac:dyDescent="0.2">
      <c r="A8" s="216"/>
      <c r="B8" s="225"/>
      <c r="C8" s="226" t="s">
        <v>185</v>
      </c>
      <c r="D8" s="226"/>
      <c r="E8" s="226"/>
      <c r="F8" s="226"/>
      <c r="G8" s="226"/>
      <c r="H8" s="226"/>
      <c r="I8" s="226"/>
      <c r="J8" s="228"/>
      <c r="K8" s="227"/>
      <c r="L8" s="231"/>
      <c r="M8" s="216"/>
    </row>
    <row r="9" spans="1:13" x14ac:dyDescent="0.2">
      <c r="A9" s="216"/>
      <c r="B9" s="225"/>
      <c r="C9" s="226"/>
      <c r="D9" s="226"/>
      <c r="E9" s="226"/>
      <c r="F9" s="226"/>
      <c r="G9" s="226"/>
      <c r="H9" s="226"/>
      <c r="I9" s="226"/>
      <c r="J9" s="228"/>
      <c r="K9" s="227"/>
      <c r="L9" s="231"/>
      <c r="M9" s="216"/>
    </row>
    <row r="10" spans="1:13" x14ac:dyDescent="0.2">
      <c r="A10" s="216"/>
      <c r="B10" s="225"/>
      <c r="C10" s="222"/>
      <c r="D10" s="222"/>
      <c r="E10" s="222"/>
      <c r="F10" s="222"/>
      <c r="G10" s="222"/>
      <c r="H10" s="222"/>
      <c r="I10" s="222"/>
      <c r="J10" s="229"/>
      <c r="K10" s="230"/>
      <c r="L10" s="231"/>
      <c r="M10" s="216"/>
    </row>
    <row r="11" spans="1:13" x14ac:dyDescent="0.2">
      <c r="A11" s="216"/>
      <c r="B11" s="225" t="s">
        <v>183</v>
      </c>
      <c r="C11" s="226" t="s">
        <v>210</v>
      </c>
      <c r="D11" s="226"/>
      <c r="E11" s="226"/>
      <c r="F11" s="226"/>
      <c r="G11" s="226"/>
      <c r="H11" s="226"/>
      <c r="I11" s="226"/>
      <c r="J11" s="228"/>
      <c r="K11" s="227"/>
      <c r="L11" s="231"/>
      <c r="M11" s="216"/>
    </row>
    <row r="12" spans="1:13" x14ac:dyDescent="0.2">
      <c r="A12" s="216"/>
      <c r="B12" s="225"/>
      <c r="C12" s="226" t="s">
        <v>187</v>
      </c>
      <c r="D12" s="226"/>
      <c r="E12" s="226"/>
      <c r="F12" s="226"/>
      <c r="G12" s="226"/>
      <c r="H12" s="226"/>
      <c r="I12" s="226"/>
      <c r="J12" s="227" t="s">
        <v>188</v>
      </c>
      <c r="K12" s="227" t="s">
        <v>60</v>
      </c>
      <c r="L12" s="291" t="e">
        <f>VLOOKUP(KPA!O7,'SW-NHK'!D6:O70,7,FALSE)</f>
        <v>#N/A</v>
      </c>
      <c r="M12" s="216"/>
    </row>
    <row r="13" spans="1:13" x14ac:dyDescent="0.2">
      <c r="A13" s="216"/>
      <c r="B13" s="225"/>
      <c r="C13" s="226"/>
      <c r="D13" s="226"/>
      <c r="E13" s="226"/>
      <c r="F13" s="226"/>
      <c r="G13" s="226"/>
      <c r="H13" s="226"/>
      <c r="I13" s="226"/>
      <c r="J13" s="228"/>
      <c r="K13" s="227"/>
      <c r="L13" s="231"/>
      <c r="M13" s="216"/>
    </row>
    <row r="14" spans="1:13" x14ac:dyDescent="0.2">
      <c r="A14" s="216"/>
      <c r="B14" s="225"/>
      <c r="C14" s="226"/>
      <c r="D14" s="226"/>
      <c r="E14" s="226"/>
      <c r="F14" s="226"/>
      <c r="G14" s="226"/>
      <c r="H14" s="226"/>
      <c r="I14" s="226"/>
      <c r="J14" s="227" t="s">
        <v>211</v>
      </c>
      <c r="K14" s="227" t="s">
        <v>61</v>
      </c>
      <c r="L14" s="254" t="e">
        <f>'SW-NHK'!#REF!</f>
        <v>#REF!</v>
      </c>
      <c r="M14" s="216"/>
    </row>
    <row r="15" spans="1:13" x14ac:dyDescent="0.2">
      <c r="A15" s="216"/>
      <c r="B15" s="225"/>
      <c r="C15" s="226"/>
      <c r="D15" s="226"/>
      <c r="E15" s="226"/>
      <c r="F15" s="226"/>
      <c r="G15" s="226"/>
      <c r="H15" s="226"/>
      <c r="I15" s="226"/>
      <c r="J15" s="228"/>
      <c r="K15" s="227"/>
      <c r="L15" s="231"/>
      <c r="M15" s="216"/>
    </row>
    <row r="16" spans="1:13" x14ac:dyDescent="0.2">
      <c r="A16" s="216"/>
      <c r="B16" s="225"/>
      <c r="C16" s="222"/>
      <c r="D16" s="222"/>
      <c r="E16" s="222"/>
      <c r="F16" s="222"/>
      <c r="G16" s="222"/>
      <c r="H16" s="222"/>
      <c r="I16" s="222"/>
      <c r="J16" s="229"/>
      <c r="K16" s="230"/>
      <c r="L16" s="231"/>
      <c r="M16" s="216"/>
    </row>
    <row r="17" spans="1:13" x14ac:dyDescent="0.2">
      <c r="A17" s="216"/>
      <c r="B17" s="225" t="s">
        <v>186</v>
      </c>
      <c r="C17" s="226" t="s">
        <v>214</v>
      </c>
      <c r="D17" s="226"/>
      <c r="E17" s="226"/>
      <c r="F17" s="226"/>
      <c r="G17" s="226"/>
      <c r="H17" s="226"/>
      <c r="I17" s="226"/>
      <c r="J17" s="226"/>
      <c r="K17" s="232"/>
      <c r="L17" s="233"/>
      <c r="M17" s="216"/>
    </row>
    <row r="18" spans="1:13" x14ac:dyDescent="0.2">
      <c r="A18" s="216"/>
      <c r="B18" s="225"/>
      <c r="C18" s="226" t="s">
        <v>190</v>
      </c>
      <c r="D18" s="226"/>
      <c r="E18" s="226"/>
      <c r="F18" s="226"/>
      <c r="G18" s="226"/>
      <c r="H18" s="226"/>
      <c r="I18" s="226"/>
      <c r="J18" s="226"/>
      <c r="K18" s="232"/>
      <c r="L18" s="233"/>
      <c r="M18" s="216"/>
    </row>
    <row r="19" spans="1:13" x14ac:dyDescent="0.2">
      <c r="A19" s="216"/>
      <c r="B19" s="225"/>
      <c r="C19" s="226"/>
      <c r="D19" s="226" t="s">
        <v>191</v>
      </c>
      <c r="E19" s="226"/>
      <c r="F19" s="226"/>
      <c r="G19" s="303" t="s">
        <v>192</v>
      </c>
      <c r="H19" s="226"/>
      <c r="I19" s="226"/>
      <c r="J19" s="226"/>
      <c r="K19" s="232"/>
      <c r="L19" s="233"/>
      <c r="M19" s="216"/>
    </row>
    <row r="20" spans="1:13" x14ac:dyDescent="0.2">
      <c r="A20" s="216"/>
      <c r="B20" s="225"/>
      <c r="C20" s="226"/>
      <c r="D20" s="226" t="s">
        <v>193</v>
      </c>
      <c r="E20" s="226"/>
      <c r="F20" s="226"/>
      <c r="G20" s="303">
        <v>1.1000000000000001</v>
      </c>
      <c r="H20" s="226"/>
      <c r="I20" s="226"/>
      <c r="J20" s="226"/>
      <c r="K20" s="232"/>
      <c r="L20" s="233"/>
      <c r="M20" s="216"/>
    </row>
    <row r="21" spans="1:13" x14ac:dyDescent="0.2">
      <c r="A21" s="216"/>
      <c r="B21" s="225"/>
      <c r="C21" s="226"/>
      <c r="D21" s="226" t="s">
        <v>194</v>
      </c>
      <c r="E21" s="226"/>
      <c r="F21" s="226"/>
      <c r="G21" s="303">
        <v>0.85</v>
      </c>
      <c r="H21" s="226"/>
      <c r="I21" s="226"/>
      <c r="J21" s="226"/>
      <c r="K21" s="232"/>
      <c r="L21" s="233"/>
      <c r="M21" s="216"/>
    </row>
    <row r="22" spans="1:13" x14ac:dyDescent="0.2">
      <c r="A22" s="216"/>
      <c r="B22" s="225"/>
      <c r="C22" s="226"/>
      <c r="D22" s="226" t="s">
        <v>195</v>
      </c>
      <c r="E22" s="226"/>
      <c r="F22" s="226"/>
      <c r="G22" s="265">
        <v>1</v>
      </c>
      <c r="H22" s="226"/>
      <c r="I22" s="226"/>
      <c r="J22" s="226"/>
      <c r="K22" s="232"/>
      <c r="L22" s="233"/>
      <c r="M22" s="216"/>
    </row>
    <row r="23" spans="1:13" x14ac:dyDescent="0.2">
      <c r="A23" s="216"/>
      <c r="B23" s="225"/>
      <c r="C23" s="226"/>
      <c r="D23" s="226"/>
      <c r="E23" s="226"/>
      <c r="F23" s="226"/>
      <c r="G23" s="226"/>
      <c r="H23" s="226"/>
      <c r="I23" s="226"/>
      <c r="J23" s="226"/>
      <c r="K23" s="232"/>
      <c r="L23" s="233"/>
      <c r="M23" s="216"/>
    </row>
    <row r="24" spans="1:13" x14ac:dyDescent="0.2">
      <c r="A24" s="216"/>
      <c r="B24" s="225"/>
      <c r="C24" s="226" t="str">
        <f>IF(OR(LEFT(KPA!O7,3)="Woh",KPA!O7="Teileigentum: Mietwohngrundstücke (Mehrfamilienhäuser)"),"Anpassung erfolgt hier mit Faktor "&amp;IF(KPA!K11&lt;=35,"1,1.",IF(KPA!K11&gt;=135,"0,85.","1,0.")),"Trifft hier nicht zu, da es sich hier um kein Wohnungseigentum handelt.")</f>
        <v>Trifft hier nicht zu, da es sich hier um kein Wohnungseigentum handelt.</v>
      </c>
      <c r="D24" s="226"/>
      <c r="E24" s="226"/>
      <c r="F24" s="226"/>
      <c r="G24" s="226"/>
      <c r="H24" s="226"/>
      <c r="I24" s="303"/>
      <c r="J24" s="227"/>
      <c r="K24" s="227" t="s">
        <v>60</v>
      </c>
      <c r="L24" s="291">
        <f>IF(OR(LEFT(KPA!O7,3)="Woh",KPA!O7="Teileigentum: Mietwohngrundstücke (Mehrfamilienhäuser)"),IF(KPA!K11&lt;=35,1.1,IF(KPA!K11&gt;=135,0.85,1)),1)</f>
        <v>1</v>
      </c>
      <c r="M24" s="216"/>
    </row>
    <row r="25" spans="1:13" x14ac:dyDescent="0.2">
      <c r="A25" s="216"/>
      <c r="B25" s="225"/>
      <c r="C25" s="226"/>
      <c r="D25" s="226"/>
      <c r="E25" s="226"/>
      <c r="F25" s="226"/>
      <c r="G25" s="226"/>
      <c r="H25" s="226"/>
      <c r="I25" s="245"/>
      <c r="J25" s="245"/>
      <c r="K25" s="246"/>
      <c r="L25" s="233"/>
      <c r="M25" s="216"/>
    </row>
    <row r="26" spans="1:13" x14ac:dyDescent="0.2">
      <c r="A26" s="216"/>
      <c r="B26" s="225"/>
      <c r="C26" s="226"/>
      <c r="D26" s="226"/>
      <c r="E26" s="226"/>
      <c r="F26" s="226"/>
      <c r="G26" s="226"/>
      <c r="H26" s="226"/>
      <c r="I26" s="226"/>
      <c r="J26" s="227" t="s">
        <v>212</v>
      </c>
      <c r="K26" s="227" t="s">
        <v>61</v>
      </c>
      <c r="L26" s="256" t="e">
        <f>L14*L24</f>
        <v>#REF!</v>
      </c>
      <c r="M26" s="216"/>
    </row>
    <row r="27" spans="1:13" x14ac:dyDescent="0.2">
      <c r="A27" s="216"/>
      <c r="B27" s="225"/>
      <c r="C27" s="226"/>
      <c r="D27" s="226"/>
      <c r="E27" s="226"/>
      <c r="F27" s="226"/>
      <c r="G27" s="226"/>
      <c r="H27" s="226"/>
      <c r="I27" s="226"/>
      <c r="J27" s="228"/>
      <c r="K27" s="227"/>
      <c r="L27" s="231"/>
      <c r="M27" s="216"/>
    </row>
    <row r="28" spans="1:13" x14ac:dyDescent="0.2">
      <c r="A28" s="216"/>
      <c r="B28" s="225"/>
      <c r="C28" s="222"/>
      <c r="D28" s="222"/>
      <c r="E28" s="222"/>
      <c r="F28" s="222"/>
      <c r="G28" s="222"/>
      <c r="H28" s="222"/>
      <c r="I28" s="222"/>
      <c r="J28" s="229"/>
      <c r="K28" s="230"/>
      <c r="L28" s="231"/>
      <c r="M28" s="216"/>
    </row>
    <row r="29" spans="1:13" x14ac:dyDescent="0.2">
      <c r="A29" s="216"/>
      <c r="B29" s="225" t="s">
        <v>189</v>
      </c>
      <c r="C29" s="226" t="s">
        <v>197</v>
      </c>
      <c r="D29" s="226"/>
      <c r="E29" s="226"/>
      <c r="F29" s="226"/>
      <c r="G29" s="226"/>
      <c r="H29" s="226"/>
      <c r="I29" s="226"/>
      <c r="J29" s="226"/>
      <c r="K29" s="227" t="s">
        <v>60</v>
      </c>
      <c r="L29" s="291">
        <v>1.03</v>
      </c>
      <c r="M29" s="216"/>
    </row>
    <row r="30" spans="1:13" x14ac:dyDescent="0.2">
      <c r="A30" s="216"/>
      <c r="B30" s="225"/>
      <c r="C30" s="226"/>
      <c r="D30" s="226"/>
      <c r="E30" s="226"/>
      <c r="F30" s="226"/>
      <c r="G30" s="226"/>
      <c r="H30" s="226"/>
      <c r="I30" s="226"/>
      <c r="J30" s="226"/>
      <c r="K30" s="232"/>
      <c r="L30" s="233"/>
      <c r="M30" s="216"/>
    </row>
    <row r="31" spans="1:13" hidden="1" x14ac:dyDescent="0.2">
      <c r="A31" s="216"/>
      <c r="B31" s="225"/>
      <c r="C31" s="226"/>
      <c r="D31" s="226"/>
      <c r="E31" s="226"/>
      <c r="F31" s="226"/>
      <c r="G31" s="226"/>
      <c r="H31" s="226"/>
      <c r="I31" s="226"/>
      <c r="J31" s="226"/>
      <c r="K31" s="232"/>
      <c r="L31" s="233"/>
      <c r="M31" s="216"/>
    </row>
    <row r="32" spans="1:13" x14ac:dyDescent="0.2">
      <c r="A32" s="216"/>
      <c r="B32" s="225"/>
      <c r="C32" s="226"/>
      <c r="D32" s="226"/>
      <c r="E32" s="226"/>
      <c r="F32" s="226"/>
      <c r="G32" s="226"/>
      <c r="H32" s="226"/>
      <c r="I32" s="226"/>
      <c r="J32" s="227" t="s">
        <v>215</v>
      </c>
      <c r="K32" s="227" t="s">
        <v>61</v>
      </c>
      <c r="L32" s="256" t="e">
        <f>'SW-NHK'!F77</f>
        <v>#N/A</v>
      </c>
      <c r="M32" s="216"/>
    </row>
    <row r="33" spans="1:13" x14ac:dyDescent="0.2">
      <c r="A33" s="216"/>
      <c r="B33" s="225"/>
      <c r="C33" s="226"/>
      <c r="D33" s="226"/>
      <c r="E33" s="226"/>
      <c r="F33" s="226"/>
      <c r="G33" s="226"/>
      <c r="H33" s="226"/>
      <c r="I33" s="226"/>
      <c r="J33" s="226"/>
      <c r="K33" s="232"/>
      <c r="L33" s="233"/>
      <c r="M33" s="216"/>
    </row>
    <row r="34" spans="1:13" x14ac:dyDescent="0.2">
      <c r="A34" s="216"/>
      <c r="B34" s="225"/>
      <c r="C34" s="226"/>
      <c r="D34" s="226"/>
      <c r="E34" s="226"/>
      <c r="F34" s="226"/>
      <c r="G34" s="226"/>
      <c r="H34" s="226"/>
      <c r="I34" s="226"/>
      <c r="J34" s="228"/>
      <c r="K34" s="227"/>
      <c r="L34" s="231"/>
      <c r="M34" s="216"/>
    </row>
    <row r="35" spans="1:13" x14ac:dyDescent="0.2">
      <c r="A35" s="216"/>
      <c r="B35" s="225"/>
      <c r="C35" s="222"/>
      <c r="D35" s="222"/>
      <c r="E35" s="222"/>
      <c r="F35" s="222"/>
      <c r="G35" s="222"/>
      <c r="H35" s="222"/>
      <c r="I35" s="222"/>
      <c r="J35" s="229"/>
      <c r="K35" s="230"/>
      <c r="L35" s="231"/>
      <c r="M35" s="216"/>
    </row>
    <row r="36" spans="1:13" x14ac:dyDescent="0.2">
      <c r="A36" s="216"/>
      <c r="B36" s="225" t="s">
        <v>196</v>
      </c>
      <c r="C36" s="226" t="s">
        <v>199</v>
      </c>
      <c r="D36" s="226"/>
      <c r="E36" s="226"/>
      <c r="F36" s="226"/>
      <c r="G36" s="226"/>
      <c r="H36" s="226"/>
      <c r="I36" s="226"/>
      <c r="J36" s="226"/>
      <c r="K36" s="232"/>
      <c r="L36" s="233"/>
      <c r="M36" s="216"/>
    </row>
    <row r="37" spans="1:13" x14ac:dyDescent="0.2">
      <c r="A37" s="216"/>
      <c r="B37" s="225"/>
      <c r="C37" s="226"/>
      <c r="D37" s="226"/>
      <c r="E37" s="226"/>
      <c r="F37" s="226"/>
      <c r="G37" s="226"/>
      <c r="H37" s="226"/>
      <c r="I37" s="226"/>
      <c r="J37" s="226"/>
      <c r="K37" s="232"/>
      <c r="L37" s="233"/>
      <c r="M37" s="216"/>
    </row>
    <row r="38" spans="1:13" x14ac:dyDescent="0.2">
      <c r="A38" s="216"/>
      <c r="B38" s="225"/>
      <c r="C38" s="302" t="s">
        <v>200</v>
      </c>
      <c r="D38" s="226"/>
      <c r="E38" s="226"/>
      <c r="F38" s="226"/>
      <c r="G38" s="226"/>
      <c r="H38" s="226"/>
      <c r="I38" s="226"/>
      <c r="J38" s="226"/>
      <c r="K38" s="232"/>
      <c r="L38" s="233"/>
      <c r="M38" s="216"/>
    </row>
    <row r="39" spans="1:13" x14ac:dyDescent="0.2">
      <c r="A39" s="216"/>
      <c r="B39" s="225"/>
      <c r="C39" s="226" t="s">
        <v>218</v>
      </c>
      <c r="D39" s="226"/>
      <c r="E39" s="226"/>
      <c r="F39" s="226"/>
      <c r="G39" s="226"/>
      <c r="H39" s="226"/>
      <c r="I39" s="226"/>
      <c r="J39" s="226"/>
      <c r="K39" s="232"/>
      <c r="L39" s="233"/>
      <c r="M39" s="216"/>
    </row>
    <row r="40" spans="1:13" x14ac:dyDescent="0.2">
      <c r="A40" s="216"/>
      <c r="B40" s="225"/>
      <c r="C40" s="226"/>
      <c r="D40" s="226"/>
      <c r="E40" s="226"/>
      <c r="F40" s="226"/>
      <c r="G40" s="226"/>
      <c r="H40" s="226"/>
      <c r="I40" s="226"/>
      <c r="J40" s="226"/>
      <c r="K40" s="232"/>
      <c r="L40" s="233"/>
      <c r="M40" s="216"/>
    </row>
    <row r="41" spans="1:13" x14ac:dyDescent="0.2">
      <c r="A41" s="216"/>
      <c r="B41" s="225"/>
      <c r="C41" s="1098" t="s">
        <v>219</v>
      </c>
      <c r="D41" s="1098"/>
      <c r="E41" s="226"/>
      <c r="F41" s="226"/>
      <c r="G41" s="226"/>
      <c r="H41" s="226"/>
      <c r="I41" s="226"/>
      <c r="J41" s="226"/>
      <c r="K41" s="232"/>
      <c r="L41" s="233"/>
      <c r="M41" s="216"/>
    </row>
    <row r="42" spans="1:13" x14ac:dyDescent="0.2">
      <c r="A42" s="216"/>
      <c r="B42" s="225"/>
      <c r="C42" s="226" t="s">
        <v>201</v>
      </c>
      <c r="D42" s="226"/>
      <c r="E42" s="226"/>
      <c r="F42" s="226"/>
      <c r="G42" s="226"/>
      <c r="H42" s="226"/>
      <c r="I42" s="226"/>
      <c r="J42" s="226"/>
      <c r="K42" s="232"/>
      <c r="L42" s="233"/>
      <c r="M42" s="216"/>
    </row>
    <row r="43" spans="1:13" x14ac:dyDescent="0.2">
      <c r="A43" s="216"/>
      <c r="B43" s="225"/>
      <c r="C43" s="226" t="s">
        <v>202</v>
      </c>
      <c r="D43" s="226"/>
      <c r="E43" s="226"/>
      <c r="F43" s="1099">
        <v>70</v>
      </c>
      <c r="G43" s="1099"/>
      <c r="H43" s="226" t="s">
        <v>203</v>
      </c>
      <c r="I43" s="226"/>
      <c r="J43" s="226"/>
      <c r="K43" s="232"/>
      <c r="L43" s="233"/>
      <c r="M43" s="216"/>
    </row>
    <row r="44" spans="1:13" ht="7.5" customHeight="1" thickBot="1" x14ac:dyDescent="0.25">
      <c r="A44" s="216"/>
      <c r="B44" s="225"/>
      <c r="C44" s="226"/>
      <c r="D44" s="226"/>
      <c r="E44" s="226"/>
      <c r="F44" s="226"/>
      <c r="G44" s="235"/>
      <c r="H44" s="226"/>
      <c r="I44" s="1100" t="e">
        <f>"hier: "&amp;VLOOKUP(KPA!O7,'SW-NHK'!D6:P70,13,FALSE)</f>
        <v>#N/A</v>
      </c>
      <c r="J44" s="303"/>
      <c r="K44" s="232"/>
      <c r="L44" s="233"/>
      <c r="M44" s="216"/>
    </row>
    <row r="45" spans="1:13" ht="7.5" customHeight="1" thickTop="1" x14ac:dyDescent="0.2">
      <c r="A45" s="216"/>
      <c r="B45" s="225"/>
      <c r="C45" s="226"/>
      <c r="D45" s="226"/>
      <c r="E45" s="226"/>
      <c r="F45" s="226"/>
      <c r="G45" s="236"/>
      <c r="H45" s="237"/>
      <c r="I45" s="1101"/>
      <c r="J45" s="303"/>
      <c r="K45" s="232"/>
      <c r="L45" s="233"/>
      <c r="M45" s="216"/>
    </row>
    <row r="46" spans="1:13" x14ac:dyDescent="0.2">
      <c r="A46" s="216"/>
      <c r="B46" s="225"/>
      <c r="C46" s="226" t="s">
        <v>204</v>
      </c>
      <c r="D46" s="226"/>
      <c r="E46" s="226"/>
      <c r="F46" s="1099">
        <v>80</v>
      </c>
      <c r="G46" s="1099"/>
      <c r="H46" s="226" t="s">
        <v>203</v>
      </c>
      <c r="I46" s="226"/>
      <c r="J46" s="226"/>
      <c r="K46" s="232"/>
      <c r="L46" s="233"/>
      <c r="M46" s="216"/>
    </row>
    <row r="47" spans="1:13" x14ac:dyDescent="0.2">
      <c r="A47" s="216"/>
      <c r="B47" s="225"/>
      <c r="C47" s="226"/>
      <c r="D47" s="226"/>
      <c r="E47" s="226"/>
      <c r="F47" s="226"/>
      <c r="G47" s="226"/>
      <c r="H47" s="226"/>
      <c r="I47" s="226"/>
      <c r="J47" s="226"/>
      <c r="K47" s="232"/>
      <c r="L47" s="233"/>
      <c r="M47" s="216"/>
    </row>
    <row r="48" spans="1:13" x14ac:dyDescent="0.2">
      <c r="A48" s="216"/>
      <c r="B48" s="225"/>
      <c r="C48" s="226"/>
      <c r="D48" s="226"/>
      <c r="E48" s="226"/>
      <c r="F48" s="226"/>
      <c r="G48" s="226"/>
      <c r="H48" s="232" t="s">
        <v>207</v>
      </c>
      <c r="I48" s="247">
        <f>KPA!G9</f>
        <v>0</v>
      </c>
      <c r="J48" s="247"/>
      <c r="K48" s="248"/>
      <c r="L48" s="233"/>
      <c r="M48" s="216"/>
    </row>
    <row r="49" spans="1:13" x14ac:dyDescent="0.2">
      <c r="A49" s="216"/>
      <c r="B49" s="225"/>
      <c r="C49" s="226"/>
      <c r="D49" s="226"/>
      <c r="E49" s="226"/>
      <c r="F49" s="226"/>
      <c r="G49" s="226"/>
      <c r="H49" s="232" t="str">
        <f>IF('Fiktives Baujahr'!D54="Bitte KPA ausfüllen","Ursprüngliches Baujahr:",IF('Fiktives Baujahr'!D54&lt;&gt;KPA!G11,"Fiktives Baujahr ("&amp;KPA!F11&amp;"):","Ursprüngliches Baujahr:"))</f>
        <v>Ursprüngliches Baujahr:</v>
      </c>
      <c r="I49" s="249" t="str">
        <f>KPA!F11</f>
        <v/>
      </c>
      <c r="J49" s="249"/>
      <c r="K49" s="246"/>
      <c r="L49" s="233"/>
      <c r="M49" s="216"/>
    </row>
    <row r="50" spans="1:13" x14ac:dyDescent="0.2">
      <c r="A50" s="216"/>
      <c r="B50" s="225"/>
      <c r="C50" s="226"/>
      <c r="D50" s="226"/>
      <c r="E50" s="226"/>
      <c r="F50" s="226"/>
      <c r="G50" s="226"/>
      <c r="H50" s="226"/>
      <c r="I50" s="226"/>
      <c r="J50" s="226"/>
      <c r="K50" s="232"/>
      <c r="L50" s="233"/>
      <c r="M50" s="216"/>
    </row>
    <row r="51" spans="1:13" x14ac:dyDescent="0.2">
      <c r="A51" s="216"/>
      <c r="B51" s="225"/>
      <c r="C51" s="226"/>
      <c r="D51" s="226"/>
      <c r="E51" s="226"/>
      <c r="F51" s="226"/>
      <c r="G51" s="226"/>
      <c r="H51" s="226"/>
      <c r="I51" s="232" t="e">
        <f>"berechneter Restwert in % (Mindestrestwert 30%): "&amp;ROUND('SW-NHK'!F83,1)&amp;"%"</f>
        <v>#N/A</v>
      </c>
      <c r="J51" s="226"/>
      <c r="K51" s="227" t="s">
        <v>60</v>
      </c>
      <c r="L51" s="291" t="e">
        <f>'SW-NHK'!F83/100</f>
        <v>#N/A</v>
      </c>
      <c r="M51" s="216"/>
    </row>
    <row r="52" spans="1:13" x14ac:dyDescent="0.2">
      <c r="A52" s="216"/>
      <c r="B52" s="225"/>
      <c r="C52" s="226"/>
      <c r="D52" s="226"/>
      <c r="E52" s="226"/>
      <c r="F52" s="226"/>
      <c r="G52" s="226"/>
      <c r="H52" s="232"/>
      <c r="I52" s="238"/>
      <c r="J52" s="226"/>
      <c r="K52" s="227"/>
      <c r="L52" s="234"/>
      <c r="M52" s="216"/>
    </row>
    <row r="53" spans="1:13" x14ac:dyDescent="0.2">
      <c r="A53" s="216"/>
      <c r="B53" s="225"/>
      <c r="C53" s="226"/>
      <c r="D53" s="226"/>
      <c r="E53" s="226"/>
      <c r="F53" s="226"/>
      <c r="G53" s="226"/>
      <c r="H53" s="232"/>
      <c r="I53" s="226"/>
      <c r="J53" s="227" t="s">
        <v>216</v>
      </c>
      <c r="K53" s="227" t="s">
        <v>61</v>
      </c>
      <c r="L53" s="256" t="e">
        <f>'SW-NHK'!#REF!</f>
        <v>#REF!</v>
      </c>
      <c r="M53" s="216"/>
    </row>
    <row r="54" spans="1:13" hidden="1" x14ac:dyDescent="0.2">
      <c r="A54" s="216"/>
      <c r="B54" s="225"/>
      <c r="C54" s="226"/>
      <c r="D54" s="226"/>
      <c r="E54" s="226"/>
      <c r="F54" s="226"/>
      <c r="G54" s="226"/>
      <c r="H54" s="226"/>
      <c r="I54" s="226"/>
      <c r="J54" s="226"/>
      <c r="K54" s="232"/>
      <c r="L54" s="233"/>
      <c r="M54" s="216"/>
    </row>
    <row r="55" spans="1:13" hidden="1" x14ac:dyDescent="0.2">
      <c r="A55" s="216"/>
      <c r="B55" s="225"/>
      <c r="C55" s="226"/>
      <c r="D55" s="226"/>
      <c r="E55" s="226"/>
      <c r="F55" s="226"/>
      <c r="G55" s="226"/>
      <c r="H55" s="226"/>
      <c r="I55" s="226"/>
      <c r="J55" s="226"/>
      <c r="K55" s="232"/>
      <c r="L55" s="233"/>
      <c r="M55" s="216"/>
    </row>
    <row r="56" spans="1:13" hidden="1" x14ac:dyDescent="0.2">
      <c r="A56" s="216"/>
      <c r="B56" s="225"/>
      <c r="C56" s="226"/>
      <c r="D56" s="226"/>
      <c r="E56" s="226"/>
      <c r="F56" s="226"/>
      <c r="G56" s="226"/>
      <c r="H56" s="226"/>
      <c r="I56" s="226"/>
      <c r="J56" s="226"/>
      <c r="K56" s="232"/>
      <c r="L56" s="233"/>
      <c r="M56" s="216"/>
    </row>
    <row r="57" spans="1:13" hidden="1" x14ac:dyDescent="0.2">
      <c r="A57" s="216"/>
      <c r="B57" s="225"/>
      <c r="C57" s="226"/>
      <c r="D57" s="226"/>
      <c r="E57" s="226"/>
      <c r="F57" s="226"/>
      <c r="G57" s="226"/>
      <c r="H57" s="226"/>
      <c r="I57" s="226"/>
      <c r="J57" s="226"/>
      <c r="K57" s="232"/>
      <c r="L57" s="233"/>
      <c r="M57" s="216"/>
    </row>
    <row r="58" spans="1:13" hidden="1" x14ac:dyDescent="0.2">
      <c r="A58" s="216"/>
      <c r="B58" s="225"/>
      <c r="C58" s="226"/>
      <c r="D58" s="226"/>
      <c r="E58" s="226"/>
      <c r="F58" s="226"/>
      <c r="G58" s="226"/>
      <c r="H58" s="226"/>
      <c r="I58" s="226"/>
      <c r="J58" s="226"/>
      <c r="K58" s="232"/>
      <c r="L58" s="233"/>
      <c r="M58" s="216"/>
    </row>
    <row r="59" spans="1:13" hidden="1" x14ac:dyDescent="0.2">
      <c r="A59" s="216"/>
      <c r="B59" s="225"/>
      <c r="C59" s="226"/>
      <c r="D59" s="226"/>
      <c r="E59" s="226"/>
      <c r="F59" s="226"/>
      <c r="G59" s="226"/>
      <c r="H59" s="226"/>
      <c r="I59" s="226"/>
      <c r="J59" s="226"/>
      <c r="K59" s="232"/>
      <c r="L59" s="233"/>
      <c r="M59" s="216"/>
    </row>
    <row r="60" spans="1:13" hidden="1" x14ac:dyDescent="0.2">
      <c r="A60" s="216"/>
      <c r="B60" s="225"/>
      <c r="C60" s="226"/>
      <c r="D60" s="226"/>
      <c r="E60" s="226"/>
      <c r="F60" s="226"/>
      <c r="G60" s="226"/>
      <c r="H60" s="226"/>
      <c r="I60" s="226"/>
      <c r="J60" s="226"/>
      <c r="K60" s="232"/>
      <c r="L60" s="233"/>
      <c r="M60" s="216"/>
    </row>
    <row r="61" spans="1:13" hidden="1" x14ac:dyDescent="0.2">
      <c r="A61" s="216"/>
      <c r="B61" s="225"/>
      <c r="C61" s="226"/>
      <c r="D61" s="226"/>
      <c r="E61" s="226"/>
      <c r="F61" s="226"/>
      <c r="G61" s="226"/>
      <c r="H61" s="226"/>
      <c r="I61" s="226"/>
      <c r="J61" s="226"/>
      <c r="K61" s="232"/>
      <c r="L61" s="233"/>
      <c r="M61" s="216"/>
    </row>
    <row r="62" spans="1:13" hidden="1" x14ac:dyDescent="0.2">
      <c r="A62" s="216"/>
      <c r="B62" s="225"/>
      <c r="C62" s="226"/>
      <c r="D62" s="226"/>
      <c r="E62" s="226"/>
      <c r="F62" s="226"/>
      <c r="G62" s="226"/>
      <c r="H62" s="226"/>
      <c r="I62" s="226"/>
      <c r="J62" s="226"/>
      <c r="K62" s="232"/>
      <c r="L62" s="233"/>
      <c r="M62" s="216"/>
    </row>
    <row r="63" spans="1:13" hidden="1" x14ac:dyDescent="0.2">
      <c r="A63" s="216"/>
      <c r="B63" s="225"/>
      <c r="C63" s="226"/>
      <c r="D63" s="226"/>
      <c r="E63" s="226"/>
      <c r="F63" s="226"/>
      <c r="G63" s="226"/>
      <c r="H63" s="226"/>
      <c r="I63" s="226"/>
      <c r="J63" s="226"/>
      <c r="K63" s="232"/>
      <c r="L63" s="233"/>
      <c r="M63" s="216"/>
    </row>
    <row r="64" spans="1:13" hidden="1" x14ac:dyDescent="0.2">
      <c r="A64" s="216"/>
      <c r="B64" s="225"/>
      <c r="C64" s="226"/>
      <c r="D64" s="226"/>
      <c r="E64" s="226"/>
      <c r="F64" s="226"/>
      <c r="G64" s="226"/>
      <c r="H64" s="226"/>
      <c r="I64" s="226"/>
      <c r="J64" s="226"/>
      <c r="K64" s="232"/>
      <c r="L64" s="233"/>
      <c r="M64" s="216"/>
    </row>
    <row r="65" spans="1:14" hidden="1" x14ac:dyDescent="0.2">
      <c r="A65" s="216"/>
      <c r="B65" s="225"/>
      <c r="C65" s="226"/>
      <c r="D65" s="226"/>
      <c r="E65" s="226"/>
      <c r="F65" s="226"/>
      <c r="G65" s="226"/>
      <c r="H65" s="226"/>
      <c r="I65" s="226"/>
      <c r="J65" s="226"/>
      <c r="K65" s="232"/>
      <c r="L65" s="233"/>
      <c r="M65" s="216"/>
    </row>
    <row r="66" spans="1:14" x14ac:dyDescent="0.2">
      <c r="A66" s="216"/>
      <c r="B66" s="225"/>
      <c r="C66" s="226"/>
      <c r="D66" s="226"/>
      <c r="E66" s="226"/>
      <c r="F66" s="226"/>
      <c r="G66" s="226"/>
      <c r="H66" s="226"/>
      <c r="I66" s="226"/>
      <c r="J66" s="228"/>
      <c r="K66" s="227"/>
      <c r="L66" s="231"/>
      <c r="M66" s="216"/>
    </row>
    <row r="67" spans="1:14" x14ac:dyDescent="0.2">
      <c r="A67" s="216"/>
      <c r="B67" s="225"/>
      <c r="C67" s="222"/>
      <c r="D67" s="222"/>
      <c r="E67" s="222"/>
      <c r="F67" s="222"/>
      <c r="G67" s="222"/>
      <c r="H67" s="222"/>
      <c r="I67" s="222"/>
      <c r="J67" s="229"/>
      <c r="K67" s="230"/>
      <c r="L67" s="231"/>
      <c r="M67" s="216"/>
    </row>
    <row r="68" spans="1:14" x14ac:dyDescent="0.2">
      <c r="A68" s="216"/>
      <c r="B68" s="225"/>
      <c r="C68" s="226"/>
      <c r="D68" s="226"/>
      <c r="E68" s="226"/>
      <c r="F68" s="226"/>
      <c r="G68" s="226"/>
      <c r="H68" s="226"/>
      <c r="I68" s="226"/>
      <c r="J68" s="226"/>
      <c r="K68" s="232"/>
      <c r="L68" s="233"/>
      <c r="M68" s="216"/>
    </row>
    <row r="69" spans="1:14" ht="28.9" customHeight="1" x14ac:dyDescent="0.2">
      <c r="A69" s="216"/>
      <c r="B69" s="264" t="s">
        <v>198</v>
      </c>
      <c r="C69" s="1103" t="s">
        <v>220</v>
      </c>
      <c r="D69" s="1103"/>
      <c r="E69" s="1103"/>
      <c r="F69" s="1103"/>
      <c r="G69" s="1103"/>
      <c r="H69" s="1103"/>
      <c r="I69" s="1103"/>
      <c r="J69" s="1103"/>
      <c r="K69" s="232"/>
      <c r="L69" s="233"/>
      <c r="M69" s="216"/>
    </row>
    <row r="70" spans="1:14" ht="6.6" customHeight="1" x14ac:dyDescent="0.2">
      <c r="A70" s="216"/>
      <c r="B70" s="225"/>
      <c r="C70" s="226"/>
      <c r="D70" s="226"/>
      <c r="E70" s="226"/>
      <c r="F70" s="226"/>
      <c r="G70" s="226"/>
      <c r="H70" s="226"/>
      <c r="I70" s="226"/>
      <c r="J70" s="226"/>
      <c r="K70" s="232"/>
      <c r="L70" s="233"/>
      <c r="M70" s="216"/>
    </row>
    <row r="71" spans="1:14" ht="21" customHeight="1" x14ac:dyDescent="0.2">
      <c r="A71" s="216"/>
      <c r="B71" s="225"/>
      <c r="C71" s="226"/>
      <c r="D71" s="239"/>
      <c r="E71" s="1102" t="s">
        <v>119</v>
      </c>
      <c r="F71" s="1102"/>
      <c r="G71" s="1102" t="s">
        <v>120</v>
      </c>
      <c r="H71" s="1102"/>
      <c r="I71" s="226"/>
      <c r="J71" s="226"/>
      <c r="K71" s="232"/>
      <c r="L71" s="233"/>
      <c r="M71" s="216"/>
    </row>
    <row r="72" spans="1:14" x14ac:dyDescent="0.2">
      <c r="A72" s="216"/>
      <c r="B72" s="225"/>
      <c r="C72" s="226"/>
      <c r="D72" s="240" t="e">
        <f>VLOOKUP(KPA!G10,'SW-Bau-Index'!A11:G74,1,FALSE)</f>
        <v>#N/A</v>
      </c>
      <c r="E72" s="1096" t="e">
        <f>'SW-Bau-Index'!F76</f>
        <v>#N/A</v>
      </c>
      <c r="F72" s="1097"/>
      <c r="G72" s="1096" t="e">
        <f>'SW-Bau-Index'!G76</f>
        <v>#N/A</v>
      </c>
      <c r="H72" s="1097"/>
      <c r="I72" s="226"/>
      <c r="J72" s="226"/>
      <c r="K72" s="232"/>
      <c r="L72" s="233"/>
      <c r="M72" s="216"/>
    </row>
    <row r="73" spans="1:14" x14ac:dyDescent="0.2">
      <c r="A73" s="216"/>
      <c r="B73" s="225"/>
      <c r="C73" s="226"/>
      <c r="D73" s="226"/>
      <c r="E73" s="226"/>
      <c r="F73" s="226"/>
      <c r="G73" s="226"/>
      <c r="H73" s="226"/>
      <c r="I73" s="226"/>
      <c r="J73" s="226"/>
      <c r="K73" s="232"/>
      <c r="L73" s="233"/>
      <c r="M73" s="216"/>
    </row>
    <row r="74" spans="1:14" x14ac:dyDescent="0.2">
      <c r="A74" s="216"/>
      <c r="B74" s="225"/>
      <c r="C74" s="226"/>
      <c r="D74" s="226"/>
      <c r="E74" s="226"/>
      <c r="F74" s="226"/>
      <c r="G74" s="232"/>
      <c r="H74" s="232" t="str">
        <f>IF(KPA!E7="Geschäftsgrundstücke, Geschäftshäuser","Es handelt sich hier um ein Nichtwohngebäude bzw. Bürogebäude.",IF(KPA!E7="Geschäftsgrundstücke, Bürogebäude","Es handelt sich hier um ein Nichtwohngebäude bzw. Bürogebäude.",IF(KPA!E7="Teileigentum: gemischt genutzte Grundstücke ","Es handelt sich hier um ein Nichtwohngebäude bzw. Bürogebäude.",IF(KPA!E7="Teileigentum: Geschäftsgrundstücke (Geschäfts.)","Es handelt sich hier um ein Nichtwohngebäude bzw. Bürogebäude.",IF(KPA!E7="Teileigentum: Geschäftsgrundstücke (Bürog.) ","Es handelt sich hier um ein Nichtwohngebäude bzw. Bürogebäude.","Es handelt sich hier um ein Wohngebäude.")))))</f>
        <v>Es handelt sich hier um ein Wohngebäude.</v>
      </c>
      <c r="I74" s="226"/>
      <c r="J74" s="226"/>
      <c r="K74" s="232"/>
      <c r="L74" s="233"/>
      <c r="M74" s="216"/>
    </row>
    <row r="75" spans="1:14" x14ac:dyDescent="0.2">
      <c r="A75" s="216"/>
      <c r="B75" s="225"/>
      <c r="C75" s="226"/>
      <c r="D75" s="226"/>
      <c r="E75" s="226"/>
      <c r="F75" s="226"/>
      <c r="G75" s="232"/>
      <c r="H75" s="250" t="e">
        <f>"Der maßgeblicher Baupreisindex ist somit für das o.g. Objekt: "&amp;'SW-NHK'!F78</f>
        <v>#N/A</v>
      </c>
      <c r="I75" s="226"/>
      <c r="J75" s="226"/>
      <c r="K75" s="227" t="s">
        <v>60</v>
      </c>
      <c r="L75" s="291" t="e">
        <f>'SW-NHK'!F78/100</f>
        <v>#N/A</v>
      </c>
      <c r="M75" s="216"/>
    </row>
    <row r="76" spans="1:14" x14ac:dyDescent="0.2">
      <c r="A76" s="216"/>
      <c r="B76" s="225"/>
      <c r="C76" s="226"/>
      <c r="D76" s="226"/>
      <c r="E76" s="226"/>
      <c r="F76" s="226"/>
      <c r="G76" s="226"/>
      <c r="H76" s="226"/>
      <c r="I76" s="226"/>
      <c r="J76" s="228"/>
      <c r="K76" s="227"/>
      <c r="L76" s="231"/>
      <c r="M76" s="216"/>
    </row>
    <row r="77" spans="1:14" x14ac:dyDescent="0.2">
      <c r="A77" s="216"/>
      <c r="B77" s="225"/>
      <c r="C77" s="222"/>
      <c r="D77" s="222"/>
      <c r="E77" s="222"/>
      <c r="F77" s="222"/>
      <c r="G77" s="222"/>
      <c r="H77" s="222"/>
      <c r="I77" s="222"/>
      <c r="J77" s="229"/>
      <c r="K77" s="230"/>
      <c r="L77" s="231"/>
      <c r="M77" s="216"/>
    </row>
    <row r="78" spans="1:14" s="263" customFormat="1" ht="30.6" customHeight="1" x14ac:dyDescent="0.2">
      <c r="A78" s="257"/>
      <c r="B78" s="258" t="s">
        <v>205</v>
      </c>
      <c r="C78" s="259" t="s">
        <v>206</v>
      </c>
      <c r="D78" s="259"/>
      <c r="E78" s="259"/>
      <c r="F78" s="259"/>
      <c r="G78" s="259"/>
      <c r="H78" s="259"/>
      <c r="I78" s="259"/>
      <c r="J78" s="260" t="s">
        <v>206</v>
      </c>
      <c r="K78" s="261" t="s">
        <v>61</v>
      </c>
      <c r="L78" s="266" t="e">
        <f>'SW-NHK'!#REF!</f>
        <v>#REF!</v>
      </c>
      <c r="M78" s="257"/>
      <c r="N78" s="262"/>
    </row>
    <row r="79" spans="1:14" x14ac:dyDescent="0.2">
      <c r="A79" s="216"/>
      <c r="B79" s="241"/>
      <c r="C79" s="242"/>
      <c r="D79" s="242"/>
      <c r="E79" s="242"/>
      <c r="F79" s="242"/>
      <c r="G79" s="242"/>
      <c r="H79" s="242"/>
      <c r="I79" s="242"/>
      <c r="J79" s="242"/>
      <c r="K79" s="243"/>
      <c r="L79" s="244"/>
      <c r="M79" s="216"/>
    </row>
    <row r="80" spans="1:14" x14ac:dyDescent="0.2">
      <c r="A80" s="216"/>
      <c r="B80" s="216"/>
      <c r="C80" s="216"/>
      <c r="D80" s="216"/>
      <c r="E80" s="216"/>
      <c r="F80" s="216"/>
      <c r="G80" s="216"/>
      <c r="H80" s="216"/>
      <c r="I80" s="216"/>
      <c r="J80" s="216"/>
      <c r="K80" s="217"/>
      <c r="L80" s="216"/>
      <c r="M80" s="216"/>
    </row>
    <row r="81" spans="1:13" s="252" customFormat="1" ht="104.45" customHeight="1" x14ac:dyDescent="0.2">
      <c r="K81" s="253"/>
    </row>
    <row r="82" spans="1:13" x14ac:dyDescent="0.2">
      <c r="A82" s="252"/>
      <c r="B82" s="252"/>
      <c r="C82" s="252"/>
      <c r="D82" s="252"/>
      <c r="E82" s="252"/>
      <c r="F82" s="252"/>
      <c r="G82" s="252"/>
      <c r="H82" s="252"/>
      <c r="I82" s="252"/>
      <c r="J82" s="252"/>
      <c r="K82" s="253"/>
      <c r="L82" s="252"/>
      <c r="M82" s="252"/>
    </row>
    <row r="83" spans="1:13" x14ac:dyDescent="0.2">
      <c r="A83" s="252"/>
      <c r="B83" s="252"/>
      <c r="C83" s="252"/>
      <c r="D83" s="252"/>
      <c r="E83" s="252"/>
      <c r="F83" s="252"/>
      <c r="G83" s="252"/>
      <c r="H83" s="252"/>
      <c r="I83" s="252"/>
      <c r="J83" s="252"/>
      <c r="K83" s="253"/>
      <c r="L83" s="252"/>
      <c r="M83" s="252"/>
    </row>
    <row r="84" spans="1:13" x14ac:dyDescent="0.2">
      <c r="A84" s="252"/>
      <c r="B84" s="252"/>
      <c r="C84" s="252"/>
      <c r="D84" s="252"/>
      <c r="E84" s="252"/>
      <c r="F84" s="252"/>
      <c r="G84" s="252"/>
      <c r="H84" s="252"/>
      <c r="I84" s="252"/>
      <c r="J84" s="252"/>
      <c r="K84" s="253"/>
      <c r="L84" s="252"/>
      <c r="M84" s="252"/>
    </row>
    <row r="85" spans="1:13" x14ac:dyDescent="0.2">
      <c r="A85" s="252"/>
      <c r="B85" s="252"/>
      <c r="C85" s="252"/>
      <c r="D85" s="252"/>
      <c r="E85" s="252"/>
      <c r="F85" s="252"/>
      <c r="G85" s="252"/>
      <c r="H85" s="252"/>
      <c r="I85" s="252"/>
      <c r="J85" s="252"/>
      <c r="K85" s="253"/>
      <c r="L85" s="252"/>
      <c r="M85" s="252"/>
    </row>
    <row r="86" spans="1:13" x14ac:dyDescent="0.2">
      <c r="A86" s="252"/>
      <c r="B86" s="252"/>
      <c r="C86" s="252"/>
      <c r="D86" s="252"/>
      <c r="E86" s="252"/>
      <c r="F86" s="252"/>
      <c r="G86" s="252"/>
      <c r="H86" s="252"/>
      <c r="I86" s="252"/>
      <c r="J86" s="252"/>
      <c r="K86" s="253"/>
      <c r="L86" s="252"/>
      <c r="M86" s="252"/>
    </row>
    <row r="87" spans="1:13" x14ac:dyDescent="0.2">
      <c r="A87" s="252"/>
      <c r="B87" s="252"/>
      <c r="C87" s="252"/>
      <c r="D87" s="252"/>
      <c r="E87" s="252"/>
      <c r="F87" s="252"/>
      <c r="G87" s="252"/>
      <c r="H87" s="252"/>
      <c r="I87" s="252"/>
      <c r="J87" s="252"/>
      <c r="K87" s="253"/>
      <c r="L87" s="252"/>
      <c r="M87" s="252"/>
    </row>
    <row r="88" spans="1:13" x14ac:dyDescent="0.2">
      <c r="A88" s="252"/>
      <c r="B88" s="252"/>
      <c r="C88" s="252"/>
      <c r="D88" s="252"/>
      <c r="E88" s="252"/>
      <c r="F88" s="252"/>
      <c r="G88" s="252"/>
      <c r="H88" s="252"/>
      <c r="I88" s="252"/>
      <c r="J88" s="252"/>
      <c r="K88" s="253"/>
      <c r="L88" s="252"/>
      <c r="M88" s="252"/>
    </row>
    <row r="89" spans="1:13" x14ac:dyDescent="0.2">
      <c r="A89" s="252"/>
      <c r="B89" s="252"/>
      <c r="C89" s="252"/>
      <c r="D89" s="252"/>
      <c r="E89" s="252"/>
      <c r="F89" s="252"/>
      <c r="G89" s="252"/>
      <c r="H89" s="252"/>
      <c r="I89" s="252"/>
      <c r="J89" s="252"/>
      <c r="K89" s="253"/>
      <c r="L89" s="252"/>
      <c r="M89" s="252"/>
    </row>
    <row r="90" spans="1:13" x14ac:dyDescent="0.2">
      <c r="A90" s="252"/>
      <c r="B90" s="252"/>
      <c r="C90" s="252"/>
      <c r="D90" s="252"/>
      <c r="E90" s="252"/>
      <c r="F90" s="252"/>
      <c r="G90" s="252"/>
      <c r="H90" s="252"/>
      <c r="I90" s="252"/>
      <c r="J90" s="252"/>
      <c r="K90" s="253"/>
      <c r="L90" s="252"/>
      <c r="M90" s="252"/>
    </row>
    <row r="91" spans="1:13" x14ac:dyDescent="0.2">
      <c r="A91" s="252"/>
      <c r="B91" s="252"/>
      <c r="C91" s="252"/>
      <c r="D91" s="252"/>
      <c r="E91" s="252"/>
      <c r="F91" s="252"/>
      <c r="G91" s="252"/>
      <c r="H91" s="252"/>
      <c r="I91" s="252"/>
      <c r="J91" s="252"/>
      <c r="K91" s="253"/>
      <c r="L91" s="252"/>
      <c r="M91" s="252"/>
    </row>
    <row r="92" spans="1:13" x14ac:dyDescent="0.2">
      <c r="A92" s="252"/>
      <c r="B92" s="252"/>
      <c r="C92" s="252"/>
      <c r="D92" s="252"/>
      <c r="E92" s="252"/>
      <c r="F92" s="252"/>
      <c r="G92" s="252"/>
      <c r="H92" s="252"/>
      <c r="I92" s="252"/>
      <c r="J92" s="252"/>
      <c r="K92" s="253"/>
      <c r="L92" s="252"/>
      <c r="M92" s="252"/>
    </row>
    <row r="93" spans="1:13" x14ac:dyDescent="0.2">
      <c r="A93" s="252"/>
      <c r="B93" s="252"/>
      <c r="C93" s="252"/>
      <c r="D93" s="252"/>
      <c r="E93" s="252"/>
      <c r="F93" s="252"/>
      <c r="G93" s="252"/>
      <c r="H93" s="252"/>
      <c r="I93" s="252"/>
      <c r="J93" s="252"/>
      <c r="K93" s="253"/>
      <c r="L93" s="252"/>
      <c r="M93" s="252"/>
    </row>
    <row r="94" spans="1:13" x14ac:dyDescent="0.2">
      <c r="A94" s="252"/>
      <c r="B94" s="252"/>
      <c r="C94" s="252"/>
      <c r="D94" s="252"/>
      <c r="E94" s="252"/>
      <c r="F94" s="252"/>
      <c r="G94" s="252"/>
      <c r="H94" s="252"/>
      <c r="I94" s="252"/>
      <c r="J94" s="252"/>
      <c r="K94" s="253"/>
      <c r="L94" s="252"/>
      <c r="M94" s="252"/>
    </row>
    <row r="95" spans="1:13" x14ac:dyDescent="0.2">
      <c r="A95" s="252"/>
      <c r="B95" s="252"/>
      <c r="C95" s="252"/>
      <c r="D95" s="252"/>
      <c r="E95" s="252"/>
      <c r="F95" s="252"/>
      <c r="G95" s="252"/>
      <c r="H95" s="252"/>
      <c r="I95" s="252"/>
      <c r="J95" s="252"/>
      <c r="K95" s="253"/>
      <c r="L95" s="252"/>
      <c r="M95" s="252"/>
    </row>
    <row r="96" spans="1:13" x14ac:dyDescent="0.2">
      <c r="A96" s="252"/>
      <c r="B96" s="252"/>
      <c r="C96" s="252"/>
      <c r="D96" s="252"/>
      <c r="E96" s="252"/>
      <c r="F96" s="252"/>
      <c r="G96" s="252"/>
      <c r="H96" s="252"/>
      <c r="I96" s="252"/>
      <c r="J96" s="252"/>
      <c r="K96" s="253"/>
      <c r="L96" s="252"/>
      <c r="M96" s="252"/>
    </row>
    <row r="97" spans="1:13" x14ac:dyDescent="0.2">
      <c r="A97" s="252"/>
      <c r="B97" s="252"/>
      <c r="C97" s="252"/>
      <c r="D97" s="252"/>
      <c r="E97" s="252"/>
      <c r="F97" s="252"/>
      <c r="G97" s="252"/>
      <c r="H97" s="252"/>
      <c r="I97" s="252"/>
      <c r="J97" s="252"/>
      <c r="K97" s="253"/>
      <c r="L97" s="252"/>
      <c r="M97" s="252"/>
    </row>
    <row r="98" spans="1:13" x14ac:dyDescent="0.2">
      <c r="A98" s="252"/>
      <c r="B98" s="252"/>
      <c r="C98" s="252"/>
      <c r="D98" s="252"/>
      <c r="E98" s="252"/>
      <c r="F98" s="252"/>
      <c r="G98" s="252"/>
      <c r="H98" s="252"/>
      <c r="I98" s="252"/>
      <c r="J98" s="252"/>
      <c r="K98" s="253"/>
      <c r="L98" s="252"/>
      <c r="M98" s="252"/>
    </row>
    <row r="99" spans="1:13" x14ac:dyDescent="0.2">
      <c r="A99" s="252"/>
      <c r="B99" s="252"/>
      <c r="C99" s="252"/>
      <c r="D99" s="252"/>
      <c r="E99" s="252"/>
      <c r="F99" s="252"/>
      <c r="G99" s="252"/>
      <c r="H99" s="252"/>
      <c r="I99" s="252"/>
      <c r="J99" s="252"/>
      <c r="K99" s="253"/>
      <c r="L99" s="252"/>
      <c r="M99" s="252"/>
    </row>
    <row r="100" spans="1:13" x14ac:dyDescent="0.2">
      <c r="A100" s="252"/>
      <c r="B100" s="252"/>
      <c r="C100" s="252"/>
      <c r="D100" s="252"/>
      <c r="E100" s="252"/>
      <c r="F100" s="252"/>
      <c r="G100" s="252"/>
      <c r="H100" s="252"/>
      <c r="I100" s="252"/>
      <c r="J100" s="252"/>
      <c r="K100" s="253"/>
      <c r="L100" s="252"/>
      <c r="M100" s="252"/>
    </row>
    <row r="101" spans="1:13" x14ac:dyDescent="0.2">
      <c r="A101" s="252"/>
      <c r="B101" s="252"/>
      <c r="C101" s="252"/>
      <c r="D101" s="252"/>
      <c r="E101" s="252"/>
      <c r="F101" s="252"/>
      <c r="G101" s="252"/>
      <c r="H101" s="252"/>
      <c r="I101" s="252"/>
      <c r="J101" s="252"/>
      <c r="K101" s="253"/>
      <c r="L101" s="252"/>
      <c r="M101" s="252"/>
    </row>
    <row r="102" spans="1:13" x14ac:dyDescent="0.2">
      <c r="A102" s="252"/>
      <c r="B102" s="252"/>
      <c r="C102" s="252"/>
      <c r="D102" s="252"/>
      <c r="E102" s="252"/>
      <c r="F102" s="252"/>
      <c r="G102" s="252"/>
      <c r="H102" s="252"/>
      <c r="I102" s="252"/>
      <c r="J102" s="252"/>
      <c r="K102" s="253"/>
      <c r="L102" s="252"/>
      <c r="M102" s="252"/>
    </row>
    <row r="103" spans="1:13" x14ac:dyDescent="0.2">
      <c r="A103" s="252"/>
      <c r="B103" s="252"/>
      <c r="C103" s="252"/>
      <c r="D103" s="252"/>
      <c r="E103" s="252"/>
      <c r="F103" s="252"/>
      <c r="G103" s="252"/>
      <c r="H103" s="252"/>
      <c r="I103" s="252"/>
      <c r="J103" s="252"/>
      <c r="K103" s="253"/>
      <c r="L103" s="252"/>
      <c r="M103" s="252"/>
    </row>
    <row r="104" spans="1:13" x14ac:dyDescent="0.2">
      <c r="A104" s="252"/>
      <c r="B104" s="252"/>
      <c r="C104" s="252"/>
      <c r="D104" s="252"/>
      <c r="E104" s="252"/>
      <c r="F104" s="252"/>
      <c r="G104" s="252"/>
      <c r="H104" s="252"/>
      <c r="I104" s="252"/>
      <c r="J104" s="252"/>
      <c r="K104" s="253"/>
      <c r="L104" s="252"/>
      <c r="M104" s="252"/>
    </row>
    <row r="105" spans="1:13" x14ac:dyDescent="0.2">
      <c r="A105" s="252"/>
      <c r="B105" s="252"/>
      <c r="C105" s="252"/>
      <c r="D105" s="252"/>
      <c r="E105" s="252"/>
      <c r="F105" s="252"/>
      <c r="G105" s="252"/>
      <c r="H105" s="252"/>
      <c r="I105" s="252"/>
      <c r="J105" s="252"/>
      <c r="K105" s="253"/>
      <c r="L105" s="252"/>
      <c r="M105" s="252"/>
    </row>
    <row r="106" spans="1:13" x14ac:dyDescent="0.2">
      <c r="A106" s="252"/>
      <c r="B106" s="252"/>
      <c r="C106" s="252"/>
      <c r="D106" s="252"/>
      <c r="E106" s="252"/>
      <c r="F106" s="252"/>
      <c r="G106" s="252"/>
      <c r="H106" s="252"/>
      <c r="I106" s="252"/>
      <c r="J106" s="252"/>
      <c r="K106" s="253"/>
      <c r="L106" s="252"/>
      <c r="M106" s="252"/>
    </row>
    <row r="107" spans="1:13" x14ac:dyDescent="0.2">
      <c r="A107" s="252"/>
      <c r="B107" s="252"/>
      <c r="C107" s="252"/>
      <c r="D107" s="252"/>
      <c r="E107" s="252"/>
      <c r="F107" s="252"/>
      <c r="G107" s="252"/>
      <c r="H107" s="252"/>
      <c r="I107" s="252"/>
      <c r="J107" s="252"/>
      <c r="K107" s="253"/>
      <c r="L107" s="252"/>
      <c r="M107" s="252"/>
    </row>
    <row r="108" spans="1:13" x14ac:dyDescent="0.2">
      <c r="A108" s="252"/>
      <c r="B108" s="252"/>
      <c r="C108" s="252"/>
      <c r="D108" s="252"/>
      <c r="E108" s="252"/>
      <c r="F108" s="252"/>
      <c r="G108" s="252"/>
      <c r="H108" s="252"/>
      <c r="I108" s="252"/>
      <c r="J108" s="252"/>
      <c r="K108" s="253"/>
      <c r="L108" s="252"/>
      <c r="M108" s="252"/>
    </row>
    <row r="109" spans="1:13" x14ac:dyDescent="0.2">
      <c r="A109" s="252"/>
      <c r="B109" s="252"/>
      <c r="C109" s="252"/>
      <c r="D109" s="252"/>
      <c r="E109" s="252"/>
      <c r="F109" s="252"/>
      <c r="G109" s="252"/>
      <c r="H109" s="252"/>
      <c r="I109" s="252"/>
      <c r="J109" s="252"/>
      <c r="K109" s="253"/>
      <c r="L109" s="252"/>
      <c r="M109" s="252"/>
    </row>
    <row r="110" spans="1:13" x14ac:dyDescent="0.2">
      <c r="A110" s="252"/>
      <c r="B110" s="252"/>
      <c r="C110" s="252"/>
      <c r="D110" s="252"/>
      <c r="E110" s="252"/>
      <c r="F110" s="252"/>
      <c r="G110" s="252"/>
      <c r="H110" s="252"/>
      <c r="I110" s="252"/>
      <c r="J110" s="252"/>
      <c r="K110" s="253"/>
      <c r="L110" s="252"/>
      <c r="M110" s="252"/>
    </row>
  </sheetData>
  <mergeCells count="9">
    <mergeCell ref="E72:F72"/>
    <mergeCell ref="G72:H72"/>
    <mergeCell ref="C41:D41"/>
    <mergeCell ref="F43:G43"/>
    <mergeCell ref="I44:I45"/>
    <mergeCell ref="F46:G46"/>
    <mergeCell ref="G71:H71"/>
    <mergeCell ref="E71:F71"/>
    <mergeCell ref="C69:J69"/>
  </mergeCells>
  <conditionalFormatting sqref="D72">
    <cfRule type="expression" dxfId="3" priority="1">
      <formula>$I$48=2013</formula>
    </cfRule>
  </conditionalFormatting>
  <conditionalFormatting sqref="E71 G71">
    <cfRule type="expression" dxfId="2" priority="3">
      <formula>$H$74="j"</formula>
    </cfRule>
  </conditionalFormatting>
  <pageMargins left="0.70866141732283472" right="0.70866141732283472" top="0.78740157480314965" bottom="0.78740157480314965" header="0.31496062992125984" footer="0.31496062992125984"/>
  <pageSetup paperSize="9" scale="70" orientation="portrait" horizontalDpi="4294967293" verticalDpi="4294967293" r:id="rId1"/>
  <headerFooter>
    <oddHeader>&amp;CTHK-Erläuterung</oddHeader>
    <oddFooter>&amp;L2020</oddFooter>
  </headerFooter>
  <rowBreaks count="1" manualBreakCount="1">
    <brk id="8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0070C0"/>
  </sheetPr>
  <dimension ref="A1:Q84"/>
  <sheetViews>
    <sheetView view="pageBreakPreview" topLeftCell="A68" zoomScale="145" zoomScaleNormal="100" zoomScaleSheetLayoutView="145" workbookViewId="0">
      <selection activeCell="F84" sqref="F84"/>
    </sheetView>
  </sheetViews>
  <sheetFormatPr baseColWidth="10" defaultColWidth="11.5703125" defaultRowHeight="12.75" x14ac:dyDescent="0.2"/>
  <cols>
    <col min="1" max="1" customWidth="true" style="53" width="1.0"/>
    <col min="2" max="2" customWidth="true" style="53" width="8.140625"/>
    <col min="3" max="3" customWidth="true" hidden="true" style="53" width="40.5703125"/>
    <col min="4" max="4" customWidth="true" style="53" width="56.140625"/>
    <col min="5" max="9" customWidth="true" style="53" width="13.5703125"/>
    <col min="10" max="15" customWidth="true" style="53" width="11.5703125"/>
    <col min="16" max="16" style="53" width="11.5703125"/>
    <col min="17" max="17" customWidth="true" hidden="true" style="53" width="11.5703125"/>
    <col min="18" max="16384" style="53" width="11.5703125"/>
  </cols>
  <sheetData>
    <row r="1" spans="1:17" ht="4.1500000000000004" customHeight="1" thickBot="1" x14ac:dyDescent="0.25"/>
    <row r="2" spans="1:17" ht="76.150000000000006" customHeight="1" thickBot="1" x14ac:dyDescent="0.25">
      <c r="E2" s="1111" t="s">
        <v>64</v>
      </c>
      <c r="F2" s="1109"/>
      <c r="G2" s="1109"/>
      <c r="H2" s="1109"/>
      <c r="I2" s="1109"/>
      <c r="J2" s="34" t="s">
        <v>80</v>
      </c>
      <c r="K2" s="1109" t="s">
        <v>65</v>
      </c>
      <c r="L2" s="1109"/>
      <c r="M2" s="1109"/>
      <c r="N2" s="1109"/>
      <c r="O2" s="1110"/>
      <c r="Q2" s="28" t="s">
        <v>79</v>
      </c>
    </row>
    <row r="3" spans="1:17" ht="13.15" customHeight="1" x14ac:dyDescent="0.2">
      <c r="B3" s="11"/>
      <c r="C3" s="12"/>
      <c r="D3" s="92"/>
      <c r="E3" s="13">
        <v>1</v>
      </c>
      <c r="F3" s="13">
        <v>2</v>
      </c>
      <c r="G3" s="14">
        <v>3</v>
      </c>
      <c r="H3" s="14">
        <v>4</v>
      </c>
      <c r="I3" s="31">
        <v>5</v>
      </c>
      <c r="J3" s="35"/>
      <c r="K3" s="80">
        <v>1</v>
      </c>
      <c r="L3" s="87">
        <v>2</v>
      </c>
      <c r="M3" s="14">
        <v>3</v>
      </c>
      <c r="N3" s="88">
        <v>4</v>
      </c>
      <c r="O3" s="85">
        <v>5</v>
      </c>
      <c r="Q3" s="29"/>
    </row>
    <row r="4" spans="1:17" ht="13.15" customHeight="1" x14ac:dyDescent="0.2">
      <c r="B4" s="76"/>
      <c r="C4" s="77"/>
      <c r="D4" s="93"/>
      <c r="E4" s="78"/>
      <c r="F4" s="78"/>
      <c r="G4" s="5"/>
      <c r="H4" s="5"/>
      <c r="I4" s="5"/>
      <c r="J4" s="5"/>
      <c r="K4" s="78"/>
      <c r="L4" s="1117" t="s">
        <v>98</v>
      </c>
      <c r="M4" s="1118"/>
      <c r="N4" s="1119"/>
      <c r="O4" s="86"/>
      <c r="Q4" s="79"/>
    </row>
    <row r="5" spans="1:17" ht="13.5" thickBot="1" x14ac:dyDescent="0.25">
      <c r="B5" s="15"/>
      <c r="C5" s="4"/>
      <c r="D5" s="21"/>
      <c r="E5" s="148"/>
      <c r="F5" s="149"/>
      <c r="G5" s="149"/>
      <c r="H5" s="149"/>
      <c r="I5" s="149"/>
      <c r="J5" s="5"/>
      <c r="K5" s="81" t="s">
        <v>73</v>
      </c>
      <c r="L5" s="158" t="s">
        <v>82</v>
      </c>
      <c r="M5" s="159" t="s">
        <v>91</v>
      </c>
      <c r="N5" s="160" t="s">
        <v>90</v>
      </c>
      <c r="O5" s="161"/>
      <c r="Q5" s="30"/>
    </row>
    <row r="6" spans="1:17" s="129" customFormat="1" ht="37.5" customHeight="1" x14ac:dyDescent="0.2">
      <c r="B6" s="138" t="s">
        <v>72</v>
      </c>
      <c r="C6" s="150"/>
      <c r="D6" s="151"/>
      <c r="E6" s="151">
        <v>2</v>
      </c>
      <c r="F6" s="152">
        <v>3</v>
      </c>
      <c r="G6" s="152">
        <v>4</v>
      </c>
      <c r="H6" s="152">
        <v>5</v>
      </c>
      <c r="I6" s="153">
        <v>6</v>
      </c>
      <c r="J6" s="154">
        <v>7</v>
      </c>
      <c r="K6" s="130">
        <v>8</v>
      </c>
      <c r="L6" s="145">
        <v>9</v>
      </c>
      <c r="M6" s="146">
        <v>10</v>
      </c>
      <c r="N6" s="146">
        <v>11</v>
      </c>
      <c r="O6" s="163">
        <v>12</v>
      </c>
      <c r="P6" s="164" t="s">
        <v>66</v>
      </c>
      <c r="Q6" s="131"/>
    </row>
    <row r="7" spans="1:17" s="54" customFormat="1" ht="25.5" customHeight="1" x14ac:dyDescent="0.2">
      <c r="A7" s="53"/>
      <c r="B7" s="16"/>
      <c r="C7" s="2"/>
      <c r="D7" s="2" t="s">
        <v>77</v>
      </c>
      <c r="E7" s="10">
        <f t="shared" ref="E7:O7" si="0">AVERAGE(E23:E70)</f>
        <v>662.20833333333337</v>
      </c>
      <c r="F7" s="10">
        <f t="shared" si="0"/>
        <v>735.77083333333337</v>
      </c>
      <c r="G7" s="10">
        <f t="shared" si="0"/>
        <v>845.4375</v>
      </c>
      <c r="H7" s="10">
        <f t="shared" si="0"/>
        <v>1019.0833333333334</v>
      </c>
      <c r="I7" s="10">
        <f t="shared" si="0"/>
        <v>1274.3125</v>
      </c>
      <c r="J7" s="215">
        <f>M7/G7</f>
        <v>2.0423375471279663</v>
      </c>
      <c r="K7" s="82">
        <f t="shared" si="0"/>
        <v>1404.9916666666668</v>
      </c>
      <c r="L7" s="89">
        <f t="shared" si="0"/>
        <v>1502.7625</v>
      </c>
      <c r="M7" s="26">
        <f t="shared" si="0"/>
        <v>1726.66875</v>
      </c>
      <c r="N7" s="26">
        <f t="shared" si="0"/>
        <v>2081.5958333333333</v>
      </c>
      <c r="O7" s="162">
        <f t="shared" si="0"/>
        <v>2602.9458333333332</v>
      </c>
      <c r="P7" s="165">
        <v>80</v>
      </c>
      <c r="Q7" s="155" t="s">
        <v>81</v>
      </c>
    </row>
    <row r="8" spans="1:17" s="54" customFormat="1" ht="25.5" customHeight="1" x14ac:dyDescent="0.2">
      <c r="A8" s="53"/>
      <c r="B8" s="17" t="s">
        <v>53</v>
      </c>
      <c r="C8" s="1" t="s">
        <v>54</v>
      </c>
      <c r="D8" s="1" t="s">
        <v>78</v>
      </c>
      <c r="E8" s="55">
        <f t="shared" ref="E8:E17" si="1">ROUND(E$7/G$7*G8,0)</f>
        <v>646</v>
      </c>
      <c r="F8" s="55">
        <f t="shared" ref="F8:F17" si="2">ROUND(F$7/G$7*G8,0)</f>
        <v>718</v>
      </c>
      <c r="G8" s="50">
        <v>825</v>
      </c>
      <c r="H8" s="50">
        <v>985</v>
      </c>
      <c r="I8" s="51">
        <v>1190</v>
      </c>
      <c r="J8" s="36">
        <f>ROUND((1.8+1.9+2.1)/3,1)</f>
        <v>1.9</v>
      </c>
      <c r="K8" s="83">
        <f t="shared" ref="K8:O17" si="3">E8*$J8</f>
        <v>1227.3999999999999</v>
      </c>
      <c r="L8" s="90">
        <f t="shared" si="3"/>
        <v>1364.2</v>
      </c>
      <c r="M8" s="52">
        <f t="shared" si="3"/>
        <v>1567.5</v>
      </c>
      <c r="N8" s="52">
        <f t="shared" si="3"/>
        <v>1871.5</v>
      </c>
      <c r="O8" s="162">
        <f t="shared" si="3"/>
        <v>2261</v>
      </c>
      <c r="P8" s="165">
        <v>80</v>
      </c>
      <c r="Q8" s="155" t="s">
        <v>81</v>
      </c>
    </row>
    <row r="9" spans="1:17" s="54" customFormat="1" ht="25.5" customHeight="1" x14ac:dyDescent="0.2">
      <c r="A9" s="53"/>
      <c r="B9" s="17"/>
      <c r="C9" s="1"/>
      <c r="D9" s="1" t="s">
        <v>167</v>
      </c>
      <c r="E9" s="55">
        <f>ROUND(E$7/G$7*G9,0)</f>
        <v>646</v>
      </c>
      <c r="F9" s="55">
        <f>ROUND(F$7/G$7*G9,0)</f>
        <v>718</v>
      </c>
      <c r="G9" s="50">
        <v>825</v>
      </c>
      <c r="H9" s="50">
        <v>985</v>
      </c>
      <c r="I9" s="51">
        <v>1190</v>
      </c>
      <c r="J9" s="36">
        <f>ROUND((1.8+1.9+2.1)/3,1)</f>
        <v>1.9</v>
      </c>
      <c r="K9" s="83">
        <f>E9*$J9</f>
        <v>1227.3999999999999</v>
      </c>
      <c r="L9" s="90">
        <f>F9*$J9</f>
        <v>1364.2</v>
      </c>
      <c r="M9" s="52">
        <f>G9*$J9</f>
        <v>1567.5</v>
      </c>
      <c r="N9" s="52">
        <f>H9*$J9</f>
        <v>1871.5</v>
      </c>
      <c r="O9" s="162">
        <f>I9*$J9</f>
        <v>2261</v>
      </c>
      <c r="P9" s="165">
        <v>80</v>
      </c>
      <c r="Q9" s="155"/>
    </row>
    <row r="10" spans="1:17" s="54" customFormat="1" ht="25.5" customHeight="1" x14ac:dyDescent="0.2">
      <c r="A10" s="53"/>
      <c r="B10" s="17"/>
      <c r="C10" s="1" t="s">
        <v>54</v>
      </c>
      <c r="D10" s="1" t="s">
        <v>267</v>
      </c>
      <c r="E10" s="55">
        <f t="shared" si="1"/>
        <v>646</v>
      </c>
      <c r="F10" s="55">
        <f t="shared" si="2"/>
        <v>718</v>
      </c>
      <c r="G10" s="50">
        <v>825</v>
      </c>
      <c r="H10" s="50">
        <v>985</v>
      </c>
      <c r="I10" s="51">
        <v>1190</v>
      </c>
      <c r="J10" s="36">
        <f>ROUND((1.8+1.9+2.1)/3,1)</f>
        <v>1.9</v>
      </c>
      <c r="K10" s="83">
        <f t="shared" si="3"/>
        <v>1227.3999999999999</v>
      </c>
      <c r="L10" s="90">
        <f t="shared" si="3"/>
        <v>1364.2</v>
      </c>
      <c r="M10" s="52">
        <f t="shared" si="3"/>
        <v>1567.5</v>
      </c>
      <c r="N10" s="52">
        <f t="shared" si="3"/>
        <v>1871.5</v>
      </c>
      <c r="O10" s="162">
        <f t="shared" si="3"/>
        <v>2261</v>
      </c>
      <c r="P10" s="165">
        <v>80</v>
      </c>
      <c r="Q10" s="155" t="s">
        <v>81</v>
      </c>
    </row>
    <row r="11" spans="1:17" s="54" customFormat="1" ht="25.5" customHeight="1" x14ac:dyDescent="0.2">
      <c r="A11" s="53"/>
      <c r="B11" s="17" t="s">
        <v>55</v>
      </c>
      <c r="C11" s="1" t="s">
        <v>57</v>
      </c>
      <c r="D11" s="1" t="s">
        <v>254</v>
      </c>
      <c r="E11" s="55">
        <f t="shared" ref="E11" si="4">ROUND(E$7/G$7*G11,0)</f>
        <v>674</v>
      </c>
      <c r="F11" s="55">
        <f t="shared" ref="F11" si="5">ROUND(F$7/G$7*G11,0)</f>
        <v>748</v>
      </c>
      <c r="G11" s="50">
        <v>860</v>
      </c>
      <c r="H11" s="50">
        <v>1085</v>
      </c>
      <c r="I11" s="51">
        <v>1375</v>
      </c>
      <c r="J11" s="36">
        <v>2</v>
      </c>
      <c r="K11" s="83">
        <f t="shared" ref="K11" si="6">E11*$J11</f>
        <v>1348</v>
      </c>
      <c r="L11" s="90">
        <f t="shared" ref="L11" si="7">F11*$J11</f>
        <v>1496</v>
      </c>
      <c r="M11" s="52">
        <f t="shared" ref="M11" si="8">G11*$J11</f>
        <v>1720</v>
      </c>
      <c r="N11" s="52">
        <f t="shared" ref="N11" si="9">H11*$J11</f>
        <v>2170</v>
      </c>
      <c r="O11" s="162">
        <f t="shared" ref="O11" si="10">I11*$J11</f>
        <v>2750</v>
      </c>
      <c r="P11" s="165">
        <v>80</v>
      </c>
      <c r="Q11" s="155"/>
    </row>
    <row r="12" spans="1:17" s="54" customFormat="1" ht="25.5" customHeight="1" x14ac:dyDescent="0.2">
      <c r="A12" s="53"/>
      <c r="B12" s="168"/>
      <c r="C12" s="169"/>
      <c r="D12" s="1" t="s">
        <v>255</v>
      </c>
      <c r="E12" s="55">
        <f>ROUND(E$7/G$7*G12,0)</f>
        <v>674</v>
      </c>
      <c r="F12" s="55">
        <f>ROUND(F$7/G$7*G12,0)</f>
        <v>748</v>
      </c>
      <c r="G12" s="50">
        <v>860</v>
      </c>
      <c r="H12" s="50">
        <v>1085</v>
      </c>
      <c r="I12" s="51">
        <v>1375</v>
      </c>
      <c r="J12" s="36">
        <v>2</v>
      </c>
      <c r="K12" s="83">
        <f>E12*$J12</f>
        <v>1348</v>
      </c>
      <c r="L12" s="90">
        <f>F12*$J12</f>
        <v>1496</v>
      </c>
      <c r="M12" s="52">
        <f>G12*$J12</f>
        <v>1720</v>
      </c>
      <c r="N12" s="52">
        <f>H12*$J12</f>
        <v>2170</v>
      </c>
      <c r="O12" s="162">
        <f>I12*$J12</f>
        <v>2750</v>
      </c>
      <c r="P12" s="165">
        <v>80</v>
      </c>
      <c r="Q12" s="155"/>
    </row>
    <row r="13" spans="1:17" s="54" customFormat="1" ht="25.5" customHeight="1" x14ac:dyDescent="0.2">
      <c r="A13" s="53"/>
      <c r="B13" s="17" t="s">
        <v>55</v>
      </c>
      <c r="C13" s="1" t="s">
        <v>57</v>
      </c>
      <c r="D13" s="1" t="s">
        <v>256</v>
      </c>
      <c r="E13" s="55">
        <f t="shared" si="1"/>
        <v>674</v>
      </c>
      <c r="F13" s="55">
        <f t="shared" si="2"/>
        <v>748</v>
      </c>
      <c r="G13" s="50">
        <v>860</v>
      </c>
      <c r="H13" s="50">
        <v>1085</v>
      </c>
      <c r="I13" s="51">
        <v>1375</v>
      </c>
      <c r="J13" s="36">
        <v>2</v>
      </c>
      <c r="K13" s="83">
        <f t="shared" si="3"/>
        <v>1348</v>
      </c>
      <c r="L13" s="90">
        <f t="shared" si="3"/>
        <v>1496</v>
      </c>
      <c r="M13" s="52">
        <f t="shared" si="3"/>
        <v>1720</v>
      </c>
      <c r="N13" s="52">
        <f t="shared" si="3"/>
        <v>2170</v>
      </c>
      <c r="O13" s="162">
        <f t="shared" si="3"/>
        <v>2750</v>
      </c>
      <c r="P13" s="165">
        <v>80</v>
      </c>
      <c r="Q13" s="155"/>
    </row>
    <row r="14" spans="1:17" s="54" customFormat="1" ht="25.5" customHeight="1" x14ac:dyDescent="0.2">
      <c r="A14" s="53"/>
      <c r="B14" s="168"/>
      <c r="C14" s="169"/>
      <c r="D14" s="1" t="s">
        <v>257</v>
      </c>
      <c r="E14" s="55">
        <f>ROUND(E$7/G$7*G14,0)</f>
        <v>674</v>
      </c>
      <c r="F14" s="55">
        <f>ROUND(F$7/G$7*G14,0)</f>
        <v>748</v>
      </c>
      <c r="G14" s="50">
        <v>860</v>
      </c>
      <c r="H14" s="50">
        <v>1085</v>
      </c>
      <c r="I14" s="51">
        <v>1375</v>
      </c>
      <c r="J14" s="36">
        <v>2</v>
      </c>
      <c r="K14" s="83">
        <f>E14*$J14</f>
        <v>1348</v>
      </c>
      <c r="L14" s="90">
        <f>F14*$J14</f>
        <v>1496</v>
      </c>
      <c r="M14" s="52">
        <f>G14*$J14</f>
        <v>1720</v>
      </c>
      <c r="N14" s="52">
        <f>H14*$J14</f>
        <v>2170</v>
      </c>
      <c r="O14" s="162">
        <f>I14*$J14</f>
        <v>2750</v>
      </c>
      <c r="P14" s="165">
        <v>80</v>
      </c>
      <c r="Q14" s="155"/>
    </row>
    <row r="15" spans="1:17" s="54" customFormat="1" ht="25.5" customHeight="1" x14ac:dyDescent="0.2">
      <c r="A15" s="53"/>
      <c r="B15" s="17" t="s">
        <v>74</v>
      </c>
      <c r="C15" s="1" t="s">
        <v>56</v>
      </c>
      <c r="D15" s="1" t="s">
        <v>156</v>
      </c>
      <c r="E15" s="55">
        <f t="shared" si="1"/>
        <v>728</v>
      </c>
      <c r="F15" s="55">
        <f t="shared" si="2"/>
        <v>809</v>
      </c>
      <c r="G15" s="50">
        <v>930</v>
      </c>
      <c r="H15" s="50">
        <v>1520</v>
      </c>
      <c r="I15" s="51">
        <v>1900</v>
      </c>
      <c r="J15" s="36">
        <v>1.5</v>
      </c>
      <c r="K15" s="83">
        <f t="shared" si="3"/>
        <v>1092</v>
      </c>
      <c r="L15" s="90">
        <f t="shared" si="3"/>
        <v>1213.5</v>
      </c>
      <c r="M15" s="52">
        <f t="shared" si="3"/>
        <v>1395</v>
      </c>
      <c r="N15" s="52">
        <f t="shared" si="3"/>
        <v>2280</v>
      </c>
      <c r="O15" s="162">
        <f t="shared" si="3"/>
        <v>2850</v>
      </c>
      <c r="P15" s="165">
        <v>60</v>
      </c>
      <c r="Q15" s="155"/>
    </row>
    <row r="16" spans="1:17" s="54" customFormat="1" ht="25.5" customHeight="1" x14ac:dyDescent="0.2">
      <c r="A16" s="53"/>
      <c r="B16" s="168"/>
      <c r="C16" s="169"/>
      <c r="D16" s="1" t="s">
        <v>163</v>
      </c>
      <c r="E16" s="55">
        <f>ROUND(E$7/G$7*G16,0)</f>
        <v>728</v>
      </c>
      <c r="F16" s="55">
        <f>ROUND(F$7/G$7*G16,0)</f>
        <v>809</v>
      </c>
      <c r="G16" s="50">
        <v>930</v>
      </c>
      <c r="H16" s="50">
        <v>1520</v>
      </c>
      <c r="I16" s="51">
        <v>1900</v>
      </c>
      <c r="J16" s="36">
        <v>1.5</v>
      </c>
      <c r="K16" s="83">
        <f>E16*$J16</f>
        <v>1092</v>
      </c>
      <c r="L16" s="90">
        <f>F16*$J16</f>
        <v>1213.5</v>
      </c>
      <c r="M16" s="52">
        <f>G16*$J16</f>
        <v>1395</v>
      </c>
      <c r="N16" s="52">
        <f>H16*$J16</f>
        <v>2280</v>
      </c>
      <c r="O16" s="162">
        <f>I16*$J16</f>
        <v>2850</v>
      </c>
      <c r="P16" s="165">
        <v>60</v>
      </c>
      <c r="Q16" s="155"/>
    </row>
    <row r="17" spans="1:17" s="54" customFormat="1" ht="25.5" customHeight="1" x14ac:dyDescent="0.2">
      <c r="A17" s="53"/>
      <c r="B17" s="17" t="s">
        <v>75</v>
      </c>
      <c r="C17" s="1"/>
      <c r="D17" s="1" t="s">
        <v>76</v>
      </c>
      <c r="E17" s="55">
        <f t="shared" si="1"/>
        <v>920</v>
      </c>
      <c r="F17" s="55">
        <f t="shared" si="2"/>
        <v>1023</v>
      </c>
      <c r="G17" s="10">
        <v>1175</v>
      </c>
      <c r="H17" s="10">
        <v>1840</v>
      </c>
      <c r="I17" s="202">
        <v>2090</v>
      </c>
      <c r="J17" s="36">
        <v>1.5</v>
      </c>
      <c r="K17" s="83">
        <f t="shared" si="3"/>
        <v>1380</v>
      </c>
      <c r="L17" s="90">
        <f t="shared" si="3"/>
        <v>1534.5</v>
      </c>
      <c r="M17" s="52">
        <f t="shared" si="3"/>
        <v>1762.5</v>
      </c>
      <c r="N17" s="52">
        <f t="shared" si="3"/>
        <v>2760</v>
      </c>
      <c r="O17" s="162">
        <f t="shared" si="3"/>
        <v>3135</v>
      </c>
      <c r="P17" s="165">
        <v>60</v>
      </c>
      <c r="Q17" s="155"/>
    </row>
    <row r="18" spans="1:17" s="54" customFormat="1" ht="25.5" customHeight="1" thickBot="1" x14ac:dyDescent="0.25">
      <c r="A18" s="53"/>
      <c r="B18" s="168"/>
      <c r="C18" s="169"/>
      <c r="D18" s="169" t="s">
        <v>164</v>
      </c>
      <c r="E18" s="199">
        <f>ROUND(E$7/G$7*G18,0)</f>
        <v>920</v>
      </c>
      <c r="F18" s="199">
        <f>ROUND(F$7/G$7*G18,0)</f>
        <v>1023</v>
      </c>
      <c r="G18" s="170">
        <v>1175</v>
      </c>
      <c r="H18" s="170">
        <v>1840</v>
      </c>
      <c r="I18" s="171">
        <v>2090</v>
      </c>
      <c r="J18" s="200">
        <v>1.5</v>
      </c>
      <c r="K18" s="641">
        <f>E18*$J18</f>
        <v>1380</v>
      </c>
      <c r="L18" s="642">
        <f>F18*$J18</f>
        <v>1534.5</v>
      </c>
      <c r="M18" s="643">
        <f>G18*$J18</f>
        <v>1762.5</v>
      </c>
      <c r="N18" s="643">
        <f>H18*$J18</f>
        <v>2760</v>
      </c>
      <c r="O18" s="644">
        <f>I18*$J18</f>
        <v>3135</v>
      </c>
      <c r="P18" s="645">
        <v>60</v>
      </c>
      <c r="Q18" s="155"/>
    </row>
    <row r="19" spans="1:17" s="54" customFormat="1" ht="25.5" customHeight="1" x14ac:dyDescent="0.2">
      <c r="A19" s="53"/>
      <c r="B19" s="649" t="s">
        <v>74</v>
      </c>
      <c r="C19" s="661"/>
      <c r="D19" s="708" t="s">
        <v>349</v>
      </c>
      <c r="E19" s="665">
        <f t="shared" ref="E19" si="11">ROUND(E$7/G$7*G19,0)</f>
        <v>728</v>
      </c>
      <c r="F19" s="662">
        <f t="shared" ref="F19" si="12">ROUND(F$7/G$7*G19,0)</f>
        <v>809</v>
      </c>
      <c r="G19" s="666">
        <v>930</v>
      </c>
      <c r="H19" s="666">
        <v>1520</v>
      </c>
      <c r="I19" s="667">
        <v>1900</v>
      </c>
      <c r="J19" s="668">
        <v>1.5</v>
      </c>
      <c r="K19" s="650">
        <f t="shared" ref="K19" si="13">E19*$J19</f>
        <v>1092</v>
      </c>
      <c r="L19" s="651">
        <f t="shared" ref="L19" si="14">F19*$J19</f>
        <v>1213.5</v>
      </c>
      <c r="M19" s="652">
        <f t="shared" ref="M19" si="15">G19*$J19</f>
        <v>1395</v>
      </c>
      <c r="N19" s="652">
        <f t="shared" ref="N19" si="16">H19*$J19</f>
        <v>2280</v>
      </c>
      <c r="O19" s="653">
        <f t="shared" ref="O19" si="17">I19*$J19</f>
        <v>2850</v>
      </c>
      <c r="P19" s="164">
        <v>60</v>
      </c>
      <c r="Q19" s="155"/>
    </row>
    <row r="20" spans="1:17" s="54" customFormat="1" ht="25.5" customHeight="1" x14ac:dyDescent="0.2">
      <c r="A20" s="53"/>
      <c r="B20" s="17"/>
      <c r="C20" s="1"/>
      <c r="D20" s="709" t="s">
        <v>350</v>
      </c>
      <c r="E20" s="669">
        <f>ROUND(E$7/G$7*G20,0)</f>
        <v>728</v>
      </c>
      <c r="F20" s="55">
        <f>ROUND(F$7/G$7*G20,0)</f>
        <v>809</v>
      </c>
      <c r="G20" s="50">
        <v>930</v>
      </c>
      <c r="H20" s="50">
        <v>1520</v>
      </c>
      <c r="I20" s="51">
        <v>1900</v>
      </c>
      <c r="J20" s="36">
        <v>1.5</v>
      </c>
      <c r="K20" s="83">
        <f>E20*$J20</f>
        <v>1092</v>
      </c>
      <c r="L20" s="90">
        <f>F20*$J20</f>
        <v>1213.5</v>
      </c>
      <c r="M20" s="52">
        <f>G20*$J20</f>
        <v>1395</v>
      </c>
      <c r="N20" s="52">
        <f>H20*$J20</f>
        <v>2280</v>
      </c>
      <c r="O20" s="162">
        <f>I20*$J20</f>
        <v>2850</v>
      </c>
      <c r="P20" s="165">
        <v>60</v>
      </c>
      <c r="Q20" s="155"/>
    </row>
    <row r="21" spans="1:17" s="54" customFormat="1" ht="25.5" customHeight="1" x14ac:dyDescent="0.2">
      <c r="A21" s="53"/>
      <c r="B21" s="17" t="s">
        <v>75</v>
      </c>
      <c r="C21" s="1"/>
      <c r="D21" s="709" t="s">
        <v>351</v>
      </c>
      <c r="E21" s="669">
        <f t="shared" ref="E21" si="18">ROUND(E$7/G$7*G21,0)</f>
        <v>920</v>
      </c>
      <c r="F21" s="55">
        <f t="shared" ref="F21" si="19">ROUND(F$7/G$7*G21,0)</f>
        <v>1023</v>
      </c>
      <c r="G21" s="10">
        <v>1175</v>
      </c>
      <c r="H21" s="10">
        <v>1840</v>
      </c>
      <c r="I21" s="202">
        <v>2090</v>
      </c>
      <c r="J21" s="36">
        <v>1.5</v>
      </c>
      <c r="K21" s="83">
        <f t="shared" ref="K21" si="20">E21*$J21</f>
        <v>1380</v>
      </c>
      <c r="L21" s="90">
        <f t="shared" ref="L21" si="21">F21*$J21</f>
        <v>1534.5</v>
      </c>
      <c r="M21" s="52">
        <f t="shared" ref="M21" si="22">G21*$J21</f>
        <v>1762.5</v>
      </c>
      <c r="N21" s="52">
        <f t="shared" ref="N21" si="23">H21*$J21</f>
        <v>2760</v>
      </c>
      <c r="O21" s="162">
        <f t="shared" ref="O21" si="24">I21*$J21</f>
        <v>3135</v>
      </c>
      <c r="P21" s="165">
        <v>60</v>
      </c>
      <c r="Q21" s="155"/>
    </row>
    <row r="22" spans="1:17" s="54" customFormat="1" ht="25.5" customHeight="1" thickBot="1" x14ac:dyDescent="0.25">
      <c r="A22" s="53"/>
      <c r="B22" s="663"/>
      <c r="C22" s="664"/>
      <c r="D22" s="710" t="s">
        <v>352</v>
      </c>
      <c r="E22" s="670">
        <f>ROUND(E$7/G$7*G22,0)</f>
        <v>920</v>
      </c>
      <c r="F22" s="654">
        <f>ROUND(F$7/G$7*G22,0)</f>
        <v>1023</v>
      </c>
      <c r="G22" s="20">
        <v>1175</v>
      </c>
      <c r="H22" s="20">
        <v>1840</v>
      </c>
      <c r="I22" s="33">
        <v>2090</v>
      </c>
      <c r="J22" s="655">
        <v>1.5</v>
      </c>
      <c r="K22" s="656">
        <f>E22*$J22</f>
        <v>1380</v>
      </c>
      <c r="L22" s="657">
        <f>F22*$J22</f>
        <v>1534.5</v>
      </c>
      <c r="M22" s="658">
        <f>G22*$J22</f>
        <v>1762.5</v>
      </c>
      <c r="N22" s="658">
        <f>H22*$J22</f>
        <v>2760</v>
      </c>
      <c r="O22" s="659">
        <f>I22*$J22</f>
        <v>3135</v>
      </c>
      <c r="P22" s="660">
        <v>60</v>
      </c>
      <c r="Q22" s="155"/>
    </row>
    <row r="23" spans="1:17" s="54" customFormat="1" ht="16.149999999999999" customHeight="1" x14ac:dyDescent="0.2">
      <c r="A23" s="53"/>
      <c r="B23" s="16" t="s">
        <v>0</v>
      </c>
      <c r="C23" s="2" t="s">
        <v>122</v>
      </c>
      <c r="D23" s="22" t="s">
        <v>268</v>
      </c>
      <c r="E23" s="3">
        <v>655</v>
      </c>
      <c r="F23" s="3">
        <v>725</v>
      </c>
      <c r="G23" s="3">
        <v>835</v>
      </c>
      <c r="H23" s="3">
        <v>1005</v>
      </c>
      <c r="I23" s="32">
        <v>1260</v>
      </c>
      <c r="J23" s="37">
        <v>2.2999999999999998</v>
      </c>
      <c r="K23" s="646">
        <f t="shared" ref="K23:K57" si="25">E23*$J23</f>
        <v>1506.4999999999998</v>
      </c>
      <c r="L23" s="647">
        <f>F23*$J23</f>
        <v>1667.4999999999998</v>
      </c>
      <c r="M23" s="648">
        <f>G23*$J23</f>
        <v>1920.4999999999998</v>
      </c>
      <c r="N23" s="648">
        <f>H23*$J23</f>
        <v>2311.5</v>
      </c>
      <c r="O23" s="3">
        <f>I23*$J23</f>
        <v>2898</v>
      </c>
      <c r="P23" s="201">
        <v>80</v>
      </c>
      <c r="Q23" s="156">
        <v>2.4</v>
      </c>
    </row>
    <row r="24" spans="1:17" s="54" customFormat="1" ht="16.149999999999999" customHeight="1" x14ac:dyDescent="0.2">
      <c r="A24" s="53"/>
      <c r="B24" s="16" t="s">
        <v>12</v>
      </c>
      <c r="C24" s="2" t="s">
        <v>123</v>
      </c>
      <c r="D24" s="22" t="s">
        <v>269</v>
      </c>
      <c r="E24" s="3">
        <v>545</v>
      </c>
      <c r="F24" s="3">
        <v>605</v>
      </c>
      <c r="G24" s="3">
        <v>695</v>
      </c>
      <c r="H24" s="3">
        <v>840</v>
      </c>
      <c r="I24" s="32">
        <v>1050</v>
      </c>
      <c r="J24" s="38">
        <v>3.8</v>
      </c>
      <c r="K24" s="82">
        <f t="shared" si="25"/>
        <v>2071</v>
      </c>
      <c r="L24" s="89">
        <f t="shared" ref="L24:L57" si="26">F24*$J24</f>
        <v>2299</v>
      </c>
      <c r="M24" s="26">
        <f t="shared" ref="M24:M57" si="27">G24*$J24</f>
        <v>2641</v>
      </c>
      <c r="N24" s="26">
        <f t="shared" ref="N24:N57" si="28">H24*$J24</f>
        <v>3192</v>
      </c>
      <c r="O24" s="10">
        <f t="shared" ref="O24:O57" si="29">I24*$J24</f>
        <v>3990</v>
      </c>
      <c r="P24" s="165">
        <v>80</v>
      </c>
      <c r="Q24" s="155" t="s">
        <v>81</v>
      </c>
    </row>
    <row r="25" spans="1:17" s="54" customFormat="1" ht="16.149999999999999" customHeight="1" x14ac:dyDescent="0.2">
      <c r="A25" s="53"/>
      <c r="B25" s="16" t="s">
        <v>33</v>
      </c>
      <c r="C25" s="2" t="s">
        <v>124</v>
      </c>
      <c r="D25" s="22" t="s">
        <v>270</v>
      </c>
      <c r="E25" s="3">
        <v>705</v>
      </c>
      <c r="F25" s="3">
        <v>785</v>
      </c>
      <c r="G25" s="3">
        <v>900</v>
      </c>
      <c r="H25" s="3">
        <v>1085</v>
      </c>
      <c r="I25" s="32">
        <v>1360</v>
      </c>
      <c r="J25" s="38">
        <v>2.6</v>
      </c>
      <c r="K25" s="82">
        <f t="shared" si="25"/>
        <v>1833</v>
      </c>
      <c r="L25" s="89">
        <f t="shared" si="26"/>
        <v>2041</v>
      </c>
      <c r="M25" s="26">
        <f t="shared" si="27"/>
        <v>2340</v>
      </c>
      <c r="N25" s="26">
        <f t="shared" si="28"/>
        <v>2821</v>
      </c>
      <c r="O25" s="10">
        <f t="shared" si="29"/>
        <v>3536</v>
      </c>
      <c r="P25" s="165">
        <v>80</v>
      </c>
      <c r="Q25" s="155" t="s">
        <v>81</v>
      </c>
    </row>
    <row r="26" spans="1:17" s="54" customFormat="1" ht="16.149999999999999" customHeight="1" x14ac:dyDescent="0.2">
      <c r="A26" s="53"/>
      <c r="B26" s="16" t="s">
        <v>3</v>
      </c>
      <c r="C26" s="2" t="s">
        <v>125</v>
      </c>
      <c r="D26" s="22" t="s">
        <v>271</v>
      </c>
      <c r="E26" s="3">
        <v>655</v>
      </c>
      <c r="F26" s="3">
        <v>725</v>
      </c>
      <c r="G26" s="3">
        <v>835</v>
      </c>
      <c r="H26" s="3">
        <v>1005</v>
      </c>
      <c r="I26" s="32">
        <v>1260</v>
      </c>
      <c r="J26" s="38">
        <v>1.9</v>
      </c>
      <c r="K26" s="82">
        <f t="shared" si="25"/>
        <v>1244.5</v>
      </c>
      <c r="L26" s="89">
        <f t="shared" si="26"/>
        <v>1377.5</v>
      </c>
      <c r="M26" s="26">
        <f t="shared" si="27"/>
        <v>1586.5</v>
      </c>
      <c r="N26" s="26">
        <f t="shared" si="28"/>
        <v>1909.5</v>
      </c>
      <c r="O26" s="10">
        <f t="shared" si="29"/>
        <v>2394</v>
      </c>
      <c r="P26" s="165">
        <v>80</v>
      </c>
      <c r="Q26" s="155" t="s">
        <v>81</v>
      </c>
    </row>
    <row r="27" spans="1:17" s="54" customFormat="1" ht="16.149999999999999" customHeight="1" x14ac:dyDescent="0.2">
      <c r="A27" s="53"/>
      <c r="B27" s="16" t="s">
        <v>15</v>
      </c>
      <c r="C27" s="2" t="s">
        <v>126</v>
      </c>
      <c r="D27" s="22" t="s">
        <v>272</v>
      </c>
      <c r="E27" s="3">
        <v>570</v>
      </c>
      <c r="F27" s="3">
        <v>635</v>
      </c>
      <c r="G27" s="3">
        <v>730</v>
      </c>
      <c r="H27" s="3">
        <v>880</v>
      </c>
      <c r="I27" s="32">
        <v>1100</v>
      </c>
      <c r="J27" s="38">
        <v>2.8</v>
      </c>
      <c r="K27" s="82">
        <f t="shared" si="25"/>
        <v>1596</v>
      </c>
      <c r="L27" s="89">
        <f t="shared" si="26"/>
        <v>1778</v>
      </c>
      <c r="M27" s="26">
        <f t="shared" si="27"/>
        <v>2043.9999999999998</v>
      </c>
      <c r="N27" s="26">
        <f t="shared" si="28"/>
        <v>2464</v>
      </c>
      <c r="O27" s="10">
        <f t="shared" si="29"/>
        <v>3080</v>
      </c>
      <c r="P27" s="165">
        <v>80</v>
      </c>
      <c r="Q27" s="155" t="s">
        <v>81</v>
      </c>
    </row>
    <row r="28" spans="1:17" s="54" customFormat="1" ht="16.149999999999999" customHeight="1" x14ac:dyDescent="0.2">
      <c r="A28" s="53"/>
      <c r="B28" s="16" t="s">
        <v>38</v>
      </c>
      <c r="C28" s="2" t="s">
        <v>127</v>
      </c>
      <c r="D28" s="22" t="s">
        <v>273</v>
      </c>
      <c r="E28" s="3">
        <v>665</v>
      </c>
      <c r="F28" s="3">
        <v>740</v>
      </c>
      <c r="G28" s="3">
        <v>850</v>
      </c>
      <c r="H28" s="3">
        <v>1025</v>
      </c>
      <c r="I28" s="32">
        <v>1285</v>
      </c>
      <c r="J28" s="38">
        <v>2.1</v>
      </c>
      <c r="K28" s="82">
        <f t="shared" si="25"/>
        <v>1396.5</v>
      </c>
      <c r="L28" s="89">
        <f t="shared" si="26"/>
        <v>1554</v>
      </c>
      <c r="M28" s="26">
        <f t="shared" si="27"/>
        <v>1785</v>
      </c>
      <c r="N28" s="26">
        <f t="shared" si="28"/>
        <v>2152.5</v>
      </c>
      <c r="O28" s="10">
        <f t="shared" si="29"/>
        <v>2698.5</v>
      </c>
      <c r="P28" s="165">
        <v>80</v>
      </c>
      <c r="Q28" s="155" t="s">
        <v>81</v>
      </c>
    </row>
    <row r="29" spans="1:17" s="54" customFormat="1" ht="16.149999999999999" customHeight="1" x14ac:dyDescent="0.2">
      <c r="A29" s="53"/>
      <c r="B29" s="16" t="s">
        <v>6</v>
      </c>
      <c r="C29" s="2" t="s">
        <v>24</v>
      </c>
      <c r="D29" s="22" t="s">
        <v>274</v>
      </c>
      <c r="E29" s="3">
        <v>790</v>
      </c>
      <c r="F29" s="3">
        <v>875</v>
      </c>
      <c r="G29" s="3">
        <v>1005</v>
      </c>
      <c r="H29" s="3">
        <v>1215</v>
      </c>
      <c r="I29" s="32">
        <v>1515</v>
      </c>
      <c r="J29" s="38">
        <v>1.6</v>
      </c>
      <c r="K29" s="82">
        <f t="shared" si="25"/>
        <v>1264</v>
      </c>
      <c r="L29" s="89">
        <f t="shared" si="26"/>
        <v>1400</v>
      </c>
      <c r="M29" s="26">
        <f t="shared" si="27"/>
        <v>1608</v>
      </c>
      <c r="N29" s="26">
        <f t="shared" si="28"/>
        <v>1944</v>
      </c>
      <c r="O29" s="10">
        <f t="shared" si="29"/>
        <v>2424</v>
      </c>
      <c r="P29" s="165">
        <v>80</v>
      </c>
      <c r="Q29" s="155" t="s">
        <v>81</v>
      </c>
    </row>
    <row r="30" spans="1:17" s="54" customFormat="1" ht="16.149999999999999" customHeight="1" x14ac:dyDescent="0.2">
      <c r="A30" s="53"/>
      <c r="B30" s="16" t="s">
        <v>18</v>
      </c>
      <c r="C30" s="2" t="s">
        <v>24</v>
      </c>
      <c r="D30" s="22" t="s">
        <v>275</v>
      </c>
      <c r="E30" s="3">
        <v>585</v>
      </c>
      <c r="F30" s="3">
        <v>650</v>
      </c>
      <c r="G30" s="3">
        <v>745</v>
      </c>
      <c r="H30" s="3">
        <v>900</v>
      </c>
      <c r="I30" s="32">
        <v>1125</v>
      </c>
      <c r="J30" s="38">
        <v>2.6</v>
      </c>
      <c r="K30" s="82">
        <f t="shared" si="25"/>
        <v>1521</v>
      </c>
      <c r="L30" s="89">
        <f t="shared" si="26"/>
        <v>1690</v>
      </c>
      <c r="M30" s="26">
        <f t="shared" si="27"/>
        <v>1937</v>
      </c>
      <c r="N30" s="26">
        <f t="shared" si="28"/>
        <v>2340</v>
      </c>
      <c r="O30" s="10">
        <f t="shared" si="29"/>
        <v>2925</v>
      </c>
      <c r="P30" s="165">
        <v>80</v>
      </c>
      <c r="Q30" s="155" t="s">
        <v>81</v>
      </c>
    </row>
    <row r="31" spans="1:17" s="54" customFormat="1" ht="16.149999999999999" customHeight="1" x14ac:dyDescent="0.2">
      <c r="A31" s="53"/>
      <c r="B31" s="16" t="s">
        <v>39</v>
      </c>
      <c r="C31" s="2" t="s">
        <v>45</v>
      </c>
      <c r="D31" s="22" t="s">
        <v>276</v>
      </c>
      <c r="E31" s="3">
        <v>920</v>
      </c>
      <c r="F31" s="3">
        <v>1025</v>
      </c>
      <c r="G31" s="3">
        <v>1180</v>
      </c>
      <c r="H31" s="3">
        <v>1420</v>
      </c>
      <c r="I31" s="32">
        <v>1775</v>
      </c>
      <c r="J31" s="38">
        <v>1.4</v>
      </c>
      <c r="K31" s="82">
        <f t="shared" si="25"/>
        <v>1288</v>
      </c>
      <c r="L31" s="89">
        <f t="shared" si="26"/>
        <v>1435</v>
      </c>
      <c r="M31" s="26">
        <f t="shared" si="27"/>
        <v>1652</v>
      </c>
      <c r="N31" s="26">
        <f t="shared" si="28"/>
        <v>1987.9999999999998</v>
      </c>
      <c r="O31" s="10">
        <f t="shared" si="29"/>
        <v>2485</v>
      </c>
      <c r="P31" s="165">
        <v>80</v>
      </c>
      <c r="Q31" s="155" t="s">
        <v>81</v>
      </c>
    </row>
    <row r="32" spans="1:17" s="54" customFormat="1" ht="16.149999999999999" customHeight="1" x14ac:dyDescent="0.2">
      <c r="A32" s="53"/>
      <c r="B32" s="16" t="s">
        <v>9</v>
      </c>
      <c r="C32" s="2" t="s">
        <v>27</v>
      </c>
      <c r="D32" s="22" t="s">
        <v>277</v>
      </c>
      <c r="E32" s="3">
        <v>720</v>
      </c>
      <c r="F32" s="3">
        <v>800</v>
      </c>
      <c r="G32" s="3">
        <v>920</v>
      </c>
      <c r="H32" s="3">
        <v>1105</v>
      </c>
      <c r="I32" s="32">
        <v>1385</v>
      </c>
      <c r="J32" s="38">
        <v>1.5</v>
      </c>
      <c r="K32" s="82">
        <f t="shared" si="25"/>
        <v>1080</v>
      </c>
      <c r="L32" s="89">
        <f t="shared" si="26"/>
        <v>1200</v>
      </c>
      <c r="M32" s="26">
        <f t="shared" si="27"/>
        <v>1380</v>
      </c>
      <c r="N32" s="26">
        <f t="shared" si="28"/>
        <v>1657.5</v>
      </c>
      <c r="O32" s="10">
        <f t="shared" si="29"/>
        <v>2077.5</v>
      </c>
      <c r="P32" s="165">
        <v>80</v>
      </c>
      <c r="Q32" s="155" t="s">
        <v>81</v>
      </c>
    </row>
    <row r="33" spans="1:17" s="54" customFormat="1" ht="16.149999999999999" customHeight="1" x14ac:dyDescent="0.2">
      <c r="A33" s="53"/>
      <c r="B33" s="16" t="s">
        <v>21</v>
      </c>
      <c r="C33" s="2" t="s">
        <v>32</v>
      </c>
      <c r="D33" s="22" t="s">
        <v>278</v>
      </c>
      <c r="E33" s="3">
        <v>620</v>
      </c>
      <c r="F33" s="3">
        <v>690</v>
      </c>
      <c r="G33" s="3">
        <v>790</v>
      </c>
      <c r="H33" s="3">
        <v>955</v>
      </c>
      <c r="I33" s="32">
        <v>1190</v>
      </c>
      <c r="J33" s="37">
        <v>2.1</v>
      </c>
      <c r="K33" s="82">
        <f t="shared" si="25"/>
        <v>1302</v>
      </c>
      <c r="L33" s="89">
        <f t="shared" si="26"/>
        <v>1449</v>
      </c>
      <c r="M33" s="26">
        <f t="shared" si="27"/>
        <v>1659</v>
      </c>
      <c r="N33" s="26">
        <f t="shared" si="28"/>
        <v>2005.5</v>
      </c>
      <c r="O33" s="10">
        <f t="shared" si="29"/>
        <v>2499</v>
      </c>
      <c r="P33" s="165">
        <v>80</v>
      </c>
      <c r="Q33" s="156">
        <v>1.5</v>
      </c>
    </row>
    <row r="34" spans="1:17" s="54" customFormat="1" ht="16.149999999999999" customHeight="1" thickBot="1" x14ac:dyDescent="0.25">
      <c r="A34" s="53"/>
      <c r="B34" s="18" t="s">
        <v>42</v>
      </c>
      <c r="C34" s="19" t="s">
        <v>48</v>
      </c>
      <c r="D34" s="23" t="s">
        <v>279</v>
      </c>
      <c r="E34" s="20">
        <v>785</v>
      </c>
      <c r="F34" s="20">
        <v>870</v>
      </c>
      <c r="G34" s="20">
        <v>1000</v>
      </c>
      <c r="H34" s="20">
        <v>1205</v>
      </c>
      <c r="I34" s="33">
        <v>1510</v>
      </c>
      <c r="J34" s="39">
        <v>1.4</v>
      </c>
      <c r="K34" s="82">
        <f t="shared" si="25"/>
        <v>1099</v>
      </c>
      <c r="L34" s="89">
        <f t="shared" si="26"/>
        <v>1218</v>
      </c>
      <c r="M34" s="26">
        <f t="shared" si="27"/>
        <v>1400</v>
      </c>
      <c r="N34" s="26">
        <f t="shared" si="28"/>
        <v>1687</v>
      </c>
      <c r="O34" s="10">
        <f t="shared" si="29"/>
        <v>2114</v>
      </c>
      <c r="P34" s="165">
        <v>80</v>
      </c>
      <c r="Q34" s="155" t="s">
        <v>81</v>
      </c>
    </row>
    <row r="35" spans="1:17" s="54" customFormat="1" ht="16.149999999999999" customHeight="1" x14ac:dyDescent="0.2">
      <c r="A35" s="53"/>
      <c r="B35" s="138" t="s">
        <v>144</v>
      </c>
      <c r="C35" s="139" t="s">
        <v>142</v>
      </c>
      <c r="D35" s="140" t="s">
        <v>318</v>
      </c>
      <c r="E35" s="141">
        <v>688</v>
      </c>
      <c r="F35" s="141">
        <v>761</v>
      </c>
      <c r="G35" s="141">
        <v>877</v>
      </c>
      <c r="H35" s="141">
        <v>1055</v>
      </c>
      <c r="I35" s="142">
        <v>1323</v>
      </c>
      <c r="J35" s="143">
        <v>2.2999999999999998</v>
      </c>
      <c r="K35" s="82">
        <f t="shared" si="25"/>
        <v>1582.3999999999999</v>
      </c>
      <c r="L35" s="89">
        <f t="shared" si="26"/>
        <v>1750.3</v>
      </c>
      <c r="M35" s="26">
        <f t="shared" si="27"/>
        <v>2017.1</v>
      </c>
      <c r="N35" s="26">
        <f t="shared" si="28"/>
        <v>2426.5</v>
      </c>
      <c r="O35" s="10">
        <f t="shared" si="29"/>
        <v>3042.8999999999996</v>
      </c>
      <c r="P35" s="165">
        <v>80</v>
      </c>
      <c r="Q35" s="155" t="s">
        <v>81</v>
      </c>
    </row>
    <row r="36" spans="1:17" s="54" customFormat="1" ht="16.149999999999999" customHeight="1" x14ac:dyDescent="0.2">
      <c r="A36" s="53"/>
      <c r="B36" s="16" t="s">
        <v>145</v>
      </c>
      <c r="C36" s="2"/>
      <c r="D36" s="22" t="s">
        <v>319</v>
      </c>
      <c r="E36" s="3">
        <v>572</v>
      </c>
      <c r="F36" s="3">
        <v>635</v>
      </c>
      <c r="G36" s="3">
        <v>730</v>
      </c>
      <c r="H36" s="3">
        <v>882</v>
      </c>
      <c r="I36" s="32">
        <v>1103</v>
      </c>
      <c r="J36" s="38">
        <v>3.8</v>
      </c>
      <c r="K36" s="82">
        <f t="shared" si="25"/>
        <v>2173.6</v>
      </c>
      <c r="L36" s="89">
        <f t="shared" si="26"/>
        <v>2413</v>
      </c>
      <c r="M36" s="26">
        <f t="shared" si="27"/>
        <v>2774</v>
      </c>
      <c r="N36" s="26">
        <f t="shared" si="28"/>
        <v>3351.6</v>
      </c>
      <c r="O36" s="10">
        <f t="shared" si="29"/>
        <v>4191.3999999999996</v>
      </c>
      <c r="P36" s="165">
        <v>80</v>
      </c>
      <c r="Q36" s="156">
        <v>3.8</v>
      </c>
    </row>
    <row r="37" spans="1:17" s="54" customFormat="1" ht="16.149999999999999" customHeight="1" x14ac:dyDescent="0.2">
      <c r="A37" s="53"/>
      <c r="B37" s="16" t="s">
        <v>146</v>
      </c>
      <c r="C37" s="2"/>
      <c r="D37" s="22" t="s">
        <v>320</v>
      </c>
      <c r="E37" s="3">
        <v>740</v>
      </c>
      <c r="F37" s="3">
        <v>824</v>
      </c>
      <c r="G37" s="3">
        <v>945</v>
      </c>
      <c r="H37" s="3">
        <v>1139</v>
      </c>
      <c r="I37" s="32">
        <v>1428</v>
      </c>
      <c r="J37" s="38">
        <v>2.6</v>
      </c>
      <c r="K37" s="82">
        <f t="shared" si="25"/>
        <v>1924</v>
      </c>
      <c r="L37" s="89">
        <f t="shared" si="26"/>
        <v>2142.4</v>
      </c>
      <c r="M37" s="26">
        <f t="shared" si="27"/>
        <v>2457</v>
      </c>
      <c r="N37" s="26">
        <f t="shared" si="28"/>
        <v>2961.4</v>
      </c>
      <c r="O37" s="10">
        <f t="shared" si="29"/>
        <v>3712.8</v>
      </c>
      <c r="P37" s="165">
        <v>80</v>
      </c>
      <c r="Q37" s="155" t="s">
        <v>81</v>
      </c>
    </row>
    <row r="38" spans="1:17" s="54" customFormat="1" ht="16.149999999999999" customHeight="1" x14ac:dyDescent="0.2">
      <c r="A38" s="53"/>
      <c r="B38" s="16" t="s">
        <v>147</v>
      </c>
      <c r="C38" s="2"/>
      <c r="D38" s="22" t="s">
        <v>321</v>
      </c>
      <c r="E38" s="3">
        <v>688</v>
      </c>
      <c r="F38" s="3">
        <v>761</v>
      </c>
      <c r="G38" s="3">
        <v>877</v>
      </c>
      <c r="H38" s="3">
        <v>1055</v>
      </c>
      <c r="I38" s="32">
        <v>1323</v>
      </c>
      <c r="J38" s="38">
        <v>1.9</v>
      </c>
      <c r="K38" s="82">
        <f t="shared" si="25"/>
        <v>1307.2</v>
      </c>
      <c r="L38" s="89">
        <f t="shared" si="26"/>
        <v>1445.8999999999999</v>
      </c>
      <c r="M38" s="26">
        <f t="shared" si="27"/>
        <v>1666.3</v>
      </c>
      <c r="N38" s="26">
        <f t="shared" si="28"/>
        <v>2004.5</v>
      </c>
      <c r="O38" s="10">
        <f t="shared" si="29"/>
        <v>2513.6999999999998</v>
      </c>
      <c r="P38" s="165">
        <v>80</v>
      </c>
      <c r="Q38" s="155" t="s">
        <v>81</v>
      </c>
    </row>
    <row r="39" spans="1:17" s="54" customFormat="1" ht="16.149999999999999" customHeight="1" x14ac:dyDescent="0.2">
      <c r="A39" s="53"/>
      <c r="B39" s="16" t="s">
        <v>143</v>
      </c>
      <c r="C39" s="2"/>
      <c r="D39" s="22" t="s">
        <v>322</v>
      </c>
      <c r="E39" s="3">
        <v>599</v>
      </c>
      <c r="F39" s="3">
        <v>667</v>
      </c>
      <c r="G39" s="3">
        <v>767</v>
      </c>
      <c r="H39" s="3">
        <v>924</v>
      </c>
      <c r="I39" s="32">
        <v>1155</v>
      </c>
      <c r="J39" s="38">
        <v>2.8</v>
      </c>
      <c r="K39" s="82">
        <f t="shared" si="25"/>
        <v>1677.1999999999998</v>
      </c>
      <c r="L39" s="89">
        <f t="shared" si="26"/>
        <v>1867.6</v>
      </c>
      <c r="M39" s="26">
        <f t="shared" si="27"/>
        <v>2147.6</v>
      </c>
      <c r="N39" s="26">
        <f t="shared" si="28"/>
        <v>2587.1999999999998</v>
      </c>
      <c r="O39" s="10">
        <f t="shared" si="29"/>
        <v>3234</v>
      </c>
      <c r="P39" s="165">
        <v>80</v>
      </c>
      <c r="Q39" s="155" t="s">
        <v>81</v>
      </c>
    </row>
    <row r="40" spans="1:17" s="54" customFormat="1" ht="16.149999999999999" customHeight="1" x14ac:dyDescent="0.2">
      <c r="A40" s="53"/>
      <c r="B40" s="16" t="s">
        <v>148</v>
      </c>
      <c r="C40" s="2"/>
      <c r="D40" s="22" t="s">
        <v>323</v>
      </c>
      <c r="E40" s="3">
        <v>698</v>
      </c>
      <c r="F40" s="3">
        <v>777</v>
      </c>
      <c r="G40" s="3">
        <v>893</v>
      </c>
      <c r="H40" s="3">
        <v>1076</v>
      </c>
      <c r="I40" s="32">
        <v>1349</v>
      </c>
      <c r="J40" s="38">
        <v>2.1</v>
      </c>
      <c r="K40" s="82">
        <f t="shared" si="25"/>
        <v>1465.8</v>
      </c>
      <c r="L40" s="89">
        <f t="shared" si="26"/>
        <v>1631.7</v>
      </c>
      <c r="M40" s="26">
        <f t="shared" si="27"/>
        <v>1875.3000000000002</v>
      </c>
      <c r="N40" s="26">
        <f t="shared" si="28"/>
        <v>2259.6</v>
      </c>
      <c r="O40" s="10">
        <f t="shared" si="29"/>
        <v>2832.9</v>
      </c>
      <c r="P40" s="165">
        <v>80</v>
      </c>
      <c r="Q40" s="155" t="s">
        <v>81</v>
      </c>
    </row>
    <row r="41" spans="1:17" s="54" customFormat="1" ht="16.149999999999999" customHeight="1" x14ac:dyDescent="0.2">
      <c r="A41" s="53"/>
      <c r="B41" s="16" t="s">
        <v>149</v>
      </c>
      <c r="C41" s="2"/>
      <c r="D41" s="22" t="s">
        <v>324</v>
      </c>
      <c r="E41" s="3">
        <v>830</v>
      </c>
      <c r="F41" s="3">
        <v>919</v>
      </c>
      <c r="G41" s="3">
        <v>1055</v>
      </c>
      <c r="H41" s="3">
        <v>1276</v>
      </c>
      <c r="I41" s="32">
        <v>1591</v>
      </c>
      <c r="J41" s="38">
        <v>1.6</v>
      </c>
      <c r="K41" s="82">
        <f t="shared" si="25"/>
        <v>1328</v>
      </c>
      <c r="L41" s="89">
        <f t="shared" si="26"/>
        <v>1470.4</v>
      </c>
      <c r="M41" s="26">
        <f t="shared" si="27"/>
        <v>1688</v>
      </c>
      <c r="N41" s="26">
        <f t="shared" si="28"/>
        <v>2041.6000000000001</v>
      </c>
      <c r="O41" s="10">
        <f t="shared" si="29"/>
        <v>2545.6000000000004</v>
      </c>
      <c r="P41" s="165">
        <v>80</v>
      </c>
      <c r="Q41" s="155" t="s">
        <v>81</v>
      </c>
    </row>
    <row r="42" spans="1:17" s="54" customFormat="1" ht="16.149999999999999" customHeight="1" x14ac:dyDescent="0.2">
      <c r="A42" s="53"/>
      <c r="B42" s="16" t="s">
        <v>150</v>
      </c>
      <c r="C42" s="2"/>
      <c r="D42" s="22" t="s">
        <v>325</v>
      </c>
      <c r="E42" s="3">
        <v>614</v>
      </c>
      <c r="F42" s="3">
        <v>683</v>
      </c>
      <c r="G42" s="3">
        <v>782</v>
      </c>
      <c r="H42" s="3">
        <v>945</v>
      </c>
      <c r="I42" s="32">
        <v>1181</v>
      </c>
      <c r="J42" s="38">
        <v>2.6</v>
      </c>
      <c r="K42" s="82">
        <f t="shared" si="25"/>
        <v>1596.4</v>
      </c>
      <c r="L42" s="89">
        <f t="shared" si="26"/>
        <v>1775.8</v>
      </c>
      <c r="M42" s="26">
        <f t="shared" si="27"/>
        <v>2033.2</v>
      </c>
      <c r="N42" s="26">
        <f t="shared" si="28"/>
        <v>2457</v>
      </c>
      <c r="O42" s="10">
        <f t="shared" si="29"/>
        <v>3070.6</v>
      </c>
      <c r="P42" s="165">
        <v>80</v>
      </c>
      <c r="Q42" s="155" t="s">
        <v>81</v>
      </c>
    </row>
    <row r="43" spans="1:17" s="54" customFormat="1" ht="16.149999999999999" customHeight="1" x14ac:dyDescent="0.2">
      <c r="A43" s="53"/>
      <c r="B43" s="16" t="s">
        <v>151</v>
      </c>
      <c r="C43" s="2"/>
      <c r="D43" s="22" t="s">
        <v>326</v>
      </c>
      <c r="E43" s="3">
        <v>966</v>
      </c>
      <c r="F43" s="3">
        <v>1076</v>
      </c>
      <c r="G43" s="3">
        <v>1239</v>
      </c>
      <c r="H43" s="3">
        <v>1491</v>
      </c>
      <c r="I43" s="32">
        <v>1864</v>
      </c>
      <c r="J43" s="38">
        <v>1.4</v>
      </c>
      <c r="K43" s="82">
        <f t="shared" si="25"/>
        <v>1352.3999999999999</v>
      </c>
      <c r="L43" s="89">
        <f t="shared" si="26"/>
        <v>1506.3999999999999</v>
      </c>
      <c r="M43" s="26">
        <f t="shared" si="27"/>
        <v>1734.6</v>
      </c>
      <c r="N43" s="26">
        <f t="shared" si="28"/>
        <v>2087.4</v>
      </c>
      <c r="O43" s="10">
        <f t="shared" si="29"/>
        <v>2609.6</v>
      </c>
      <c r="P43" s="165">
        <v>80</v>
      </c>
      <c r="Q43" s="155" t="s">
        <v>81</v>
      </c>
    </row>
    <row r="44" spans="1:17" s="54" customFormat="1" ht="16.149999999999999" customHeight="1" x14ac:dyDescent="0.2">
      <c r="A44" s="53"/>
      <c r="B44" s="16" t="s">
        <v>152</v>
      </c>
      <c r="C44" s="2"/>
      <c r="D44" s="22" t="s">
        <v>327</v>
      </c>
      <c r="E44" s="3">
        <v>756</v>
      </c>
      <c r="F44" s="3">
        <v>840</v>
      </c>
      <c r="G44" s="3">
        <v>966</v>
      </c>
      <c r="H44" s="3">
        <v>1160</v>
      </c>
      <c r="I44" s="32">
        <v>1454</v>
      </c>
      <c r="J44" s="38">
        <v>1.5</v>
      </c>
      <c r="K44" s="82">
        <f t="shared" si="25"/>
        <v>1134</v>
      </c>
      <c r="L44" s="89">
        <f t="shared" si="26"/>
        <v>1260</v>
      </c>
      <c r="M44" s="26">
        <f t="shared" si="27"/>
        <v>1449</v>
      </c>
      <c r="N44" s="26">
        <f t="shared" si="28"/>
        <v>1740</v>
      </c>
      <c r="O44" s="10">
        <f t="shared" si="29"/>
        <v>2181</v>
      </c>
      <c r="P44" s="165">
        <v>80</v>
      </c>
      <c r="Q44" s="155" t="s">
        <v>81</v>
      </c>
    </row>
    <row r="45" spans="1:17" s="54" customFormat="1" ht="16.149999999999999" customHeight="1" x14ac:dyDescent="0.2">
      <c r="A45" s="53"/>
      <c r="B45" s="16" t="s">
        <v>153</v>
      </c>
      <c r="C45" s="2"/>
      <c r="D45" s="22" t="s">
        <v>328</v>
      </c>
      <c r="E45" s="3">
        <v>651</v>
      </c>
      <c r="F45" s="3">
        <v>725</v>
      </c>
      <c r="G45" s="3">
        <v>830</v>
      </c>
      <c r="H45" s="3">
        <v>1003</v>
      </c>
      <c r="I45" s="32">
        <v>1250</v>
      </c>
      <c r="J45" s="38">
        <v>2.1</v>
      </c>
      <c r="K45" s="82">
        <f t="shared" si="25"/>
        <v>1367.1000000000001</v>
      </c>
      <c r="L45" s="89">
        <f t="shared" si="26"/>
        <v>1522.5</v>
      </c>
      <c r="M45" s="26">
        <f t="shared" si="27"/>
        <v>1743</v>
      </c>
      <c r="N45" s="26">
        <f t="shared" si="28"/>
        <v>2106.3000000000002</v>
      </c>
      <c r="O45" s="10">
        <f t="shared" si="29"/>
        <v>2625</v>
      </c>
      <c r="P45" s="165">
        <v>80</v>
      </c>
      <c r="Q45" s="155" t="s">
        <v>81</v>
      </c>
    </row>
    <row r="46" spans="1:17" s="54" customFormat="1" ht="16.149999999999999" customHeight="1" thickBot="1" x14ac:dyDescent="0.25">
      <c r="A46" s="53"/>
      <c r="B46" s="18" t="s">
        <v>154</v>
      </c>
      <c r="C46" s="19"/>
      <c r="D46" s="23" t="s">
        <v>329</v>
      </c>
      <c r="E46" s="20">
        <v>824</v>
      </c>
      <c r="F46" s="20">
        <v>914</v>
      </c>
      <c r="G46" s="20">
        <v>1050</v>
      </c>
      <c r="H46" s="20">
        <v>1265</v>
      </c>
      <c r="I46" s="33">
        <v>1586</v>
      </c>
      <c r="J46" s="39">
        <v>1.4</v>
      </c>
      <c r="K46" s="82">
        <f t="shared" si="25"/>
        <v>1153.5999999999999</v>
      </c>
      <c r="L46" s="89">
        <f t="shared" si="26"/>
        <v>1279.5999999999999</v>
      </c>
      <c r="M46" s="26">
        <f t="shared" si="27"/>
        <v>1470</v>
      </c>
      <c r="N46" s="26">
        <f t="shared" si="28"/>
        <v>1771</v>
      </c>
      <c r="O46" s="10">
        <f t="shared" si="29"/>
        <v>2220.3999999999996</v>
      </c>
      <c r="P46" s="165">
        <v>80</v>
      </c>
      <c r="Q46" s="155" t="s">
        <v>81</v>
      </c>
    </row>
    <row r="47" spans="1:17" s="54" customFormat="1" ht="16.149999999999999" customHeight="1" x14ac:dyDescent="0.2">
      <c r="A47" s="53"/>
      <c r="B47" s="16" t="s">
        <v>1</v>
      </c>
      <c r="C47" s="2" t="s">
        <v>128</v>
      </c>
      <c r="D47" s="22" t="s">
        <v>280</v>
      </c>
      <c r="E47" s="3">
        <v>615</v>
      </c>
      <c r="F47" s="3">
        <v>685</v>
      </c>
      <c r="G47" s="3">
        <v>785</v>
      </c>
      <c r="H47" s="3">
        <v>945</v>
      </c>
      <c r="I47" s="32">
        <v>1180</v>
      </c>
      <c r="J47" s="38">
        <v>2</v>
      </c>
      <c r="K47" s="82">
        <f t="shared" si="25"/>
        <v>1230</v>
      </c>
      <c r="L47" s="89">
        <f t="shared" si="26"/>
        <v>1370</v>
      </c>
      <c r="M47" s="26">
        <f t="shared" si="27"/>
        <v>1570</v>
      </c>
      <c r="N47" s="26">
        <f t="shared" si="28"/>
        <v>1890</v>
      </c>
      <c r="O47" s="10">
        <f t="shared" si="29"/>
        <v>2360</v>
      </c>
      <c r="P47" s="165">
        <v>80</v>
      </c>
      <c r="Q47" s="155" t="s">
        <v>81</v>
      </c>
    </row>
    <row r="48" spans="1:17" s="54" customFormat="1" ht="16.149999999999999" customHeight="1" x14ac:dyDescent="0.2">
      <c r="A48" s="53"/>
      <c r="B48" s="16" t="s">
        <v>13</v>
      </c>
      <c r="C48" s="2" t="s">
        <v>129</v>
      </c>
      <c r="D48" s="22" t="s">
        <v>281</v>
      </c>
      <c r="E48" s="3">
        <v>515</v>
      </c>
      <c r="F48" s="3">
        <v>570</v>
      </c>
      <c r="G48" s="3">
        <v>655</v>
      </c>
      <c r="H48" s="3">
        <v>790</v>
      </c>
      <c r="I48" s="32">
        <v>985</v>
      </c>
      <c r="J48" s="37">
        <v>3.9</v>
      </c>
      <c r="K48" s="82">
        <f t="shared" si="25"/>
        <v>2008.5</v>
      </c>
      <c r="L48" s="89">
        <f t="shared" si="26"/>
        <v>2223</v>
      </c>
      <c r="M48" s="26">
        <f t="shared" si="27"/>
        <v>2554.5</v>
      </c>
      <c r="N48" s="26">
        <f t="shared" si="28"/>
        <v>3081</v>
      </c>
      <c r="O48" s="10">
        <f t="shared" si="29"/>
        <v>3841.5</v>
      </c>
      <c r="P48" s="165">
        <v>80</v>
      </c>
      <c r="Q48" s="155" t="s">
        <v>81</v>
      </c>
    </row>
    <row r="49" spans="1:17" s="54" customFormat="1" ht="16.149999999999999" customHeight="1" x14ac:dyDescent="0.2">
      <c r="A49" s="53"/>
      <c r="B49" s="16" t="s">
        <v>34</v>
      </c>
      <c r="C49" s="2" t="s">
        <v>130</v>
      </c>
      <c r="D49" s="22" t="s">
        <v>282</v>
      </c>
      <c r="E49" s="3">
        <v>665</v>
      </c>
      <c r="F49" s="3">
        <v>735</v>
      </c>
      <c r="G49" s="3">
        <v>845</v>
      </c>
      <c r="H49" s="3">
        <v>1020</v>
      </c>
      <c r="I49" s="32">
        <v>1275</v>
      </c>
      <c r="J49" s="38">
        <v>2.6</v>
      </c>
      <c r="K49" s="82">
        <f t="shared" si="25"/>
        <v>1729</v>
      </c>
      <c r="L49" s="89">
        <f t="shared" si="26"/>
        <v>1911</v>
      </c>
      <c r="M49" s="26">
        <f t="shared" si="27"/>
        <v>2197</v>
      </c>
      <c r="N49" s="26">
        <f t="shared" si="28"/>
        <v>2652</v>
      </c>
      <c r="O49" s="10">
        <f t="shared" si="29"/>
        <v>3315</v>
      </c>
      <c r="P49" s="165">
        <v>80</v>
      </c>
      <c r="Q49" s="155" t="s">
        <v>81</v>
      </c>
    </row>
    <row r="50" spans="1:17" s="54" customFormat="1" ht="16.149999999999999" customHeight="1" x14ac:dyDescent="0.2">
      <c r="A50" s="53"/>
      <c r="B50" s="16" t="s">
        <v>4</v>
      </c>
      <c r="C50" s="2" t="s">
        <v>131</v>
      </c>
      <c r="D50" s="22" t="s">
        <v>283</v>
      </c>
      <c r="E50" s="3">
        <v>615</v>
      </c>
      <c r="F50" s="3">
        <v>685</v>
      </c>
      <c r="G50" s="3">
        <v>785</v>
      </c>
      <c r="H50" s="3">
        <v>945</v>
      </c>
      <c r="I50" s="32">
        <v>1180</v>
      </c>
      <c r="J50" s="38">
        <v>1.8</v>
      </c>
      <c r="K50" s="82">
        <f t="shared" si="25"/>
        <v>1107</v>
      </c>
      <c r="L50" s="89">
        <f t="shared" si="26"/>
        <v>1233</v>
      </c>
      <c r="M50" s="26">
        <f t="shared" si="27"/>
        <v>1413</v>
      </c>
      <c r="N50" s="26">
        <f t="shared" si="28"/>
        <v>1701</v>
      </c>
      <c r="O50" s="10">
        <f t="shared" si="29"/>
        <v>2124</v>
      </c>
      <c r="P50" s="165">
        <v>80</v>
      </c>
      <c r="Q50" s="155" t="s">
        <v>81</v>
      </c>
    </row>
    <row r="51" spans="1:17" s="54" customFormat="1" ht="16.149999999999999" customHeight="1" x14ac:dyDescent="0.2">
      <c r="A51" s="53"/>
      <c r="B51" s="16" t="s">
        <v>16</v>
      </c>
      <c r="C51" s="2" t="s">
        <v>132</v>
      </c>
      <c r="D51" s="22" t="s">
        <v>284</v>
      </c>
      <c r="E51" s="3">
        <v>535</v>
      </c>
      <c r="F51" s="3">
        <v>595</v>
      </c>
      <c r="G51" s="3">
        <v>685</v>
      </c>
      <c r="H51" s="3">
        <v>825</v>
      </c>
      <c r="I51" s="32">
        <v>1035</v>
      </c>
      <c r="J51" s="38">
        <v>2.6</v>
      </c>
      <c r="K51" s="82">
        <f t="shared" si="25"/>
        <v>1391</v>
      </c>
      <c r="L51" s="89">
        <f t="shared" si="26"/>
        <v>1547</v>
      </c>
      <c r="M51" s="26">
        <f t="shared" si="27"/>
        <v>1781</v>
      </c>
      <c r="N51" s="26">
        <f t="shared" si="28"/>
        <v>2145</v>
      </c>
      <c r="O51" s="10">
        <f t="shared" si="29"/>
        <v>2691</v>
      </c>
      <c r="P51" s="165">
        <v>80</v>
      </c>
      <c r="Q51" s="155" t="s">
        <v>81</v>
      </c>
    </row>
    <row r="52" spans="1:17" s="54" customFormat="1" ht="16.149999999999999" customHeight="1" x14ac:dyDescent="0.2">
      <c r="A52" s="53"/>
      <c r="B52" s="16" t="s">
        <v>37</v>
      </c>
      <c r="C52" s="2" t="s">
        <v>133</v>
      </c>
      <c r="D52" s="22" t="s">
        <v>285</v>
      </c>
      <c r="E52" s="3">
        <v>625</v>
      </c>
      <c r="F52" s="3">
        <v>695</v>
      </c>
      <c r="G52" s="3">
        <v>800</v>
      </c>
      <c r="H52" s="3">
        <v>965</v>
      </c>
      <c r="I52" s="32">
        <v>1205</v>
      </c>
      <c r="J52" s="38">
        <v>1.9</v>
      </c>
      <c r="K52" s="82">
        <f t="shared" si="25"/>
        <v>1187.5</v>
      </c>
      <c r="L52" s="89">
        <f t="shared" si="26"/>
        <v>1320.5</v>
      </c>
      <c r="M52" s="26">
        <f t="shared" si="27"/>
        <v>1520</v>
      </c>
      <c r="N52" s="26">
        <f t="shared" si="28"/>
        <v>1833.5</v>
      </c>
      <c r="O52" s="10">
        <f t="shared" si="29"/>
        <v>2289.5</v>
      </c>
      <c r="P52" s="165">
        <v>80</v>
      </c>
      <c r="Q52" s="155" t="s">
        <v>81</v>
      </c>
    </row>
    <row r="53" spans="1:17" s="54" customFormat="1" ht="16.149999999999999" customHeight="1" x14ac:dyDescent="0.2">
      <c r="A53" s="53"/>
      <c r="B53" s="16" t="s">
        <v>7</v>
      </c>
      <c r="C53" s="2" t="s">
        <v>25</v>
      </c>
      <c r="D53" s="22" t="s">
        <v>286</v>
      </c>
      <c r="E53" s="3">
        <v>740</v>
      </c>
      <c r="F53" s="3">
        <v>825</v>
      </c>
      <c r="G53" s="3">
        <v>945</v>
      </c>
      <c r="H53" s="3">
        <v>1140</v>
      </c>
      <c r="I53" s="32">
        <v>1425</v>
      </c>
      <c r="J53" s="38">
        <v>1.3</v>
      </c>
      <c r="K53" s="82">
        <f t="shared" si="25"/>
        <v>962</v>
      </c>
      <c r="L53" s="89">
        <f t="shared" si="26"/>
        <v>1072.5</v>
      </c>
      <c r="M53" s="26">
        <f t="shared" si="27"/>
        <v>1228.5</v>
      </c>
      <c r="N53" s="26">
        <f t="shared" si="28"/>
        <v>1482</v>
      </c>
      <c r="O53" s="10">
        <f t="shared" si="29"/>
        <v>1852.5</v>
      </c>
      <c r="P53" s="165">
        <v>80</v>
      </c>
      <c r="Q53" s="155" t="s">
        <v>81</v>
      </c>
    </row>
    <row r="54" spans="1:17" s="54" customFormat="1" ht="16.149999999999999" customHeight="1" x14ac:dyDescent="0.2">
      <c r="A54" s="53"/>
      <c r="B54" s="16" t="s">
        <v>19</v>
      </c>
      <c r="C54" s="2" t="s">
        <v>30</v>
      </c>
      <c r="D54" s="22" t="s">
        <v>287</v>
      </c>
      <c r="E54" s="3">
        <v>550</v>
      </c>
      <c r="F54" s="3">
        <v>610</v>
      </c>
      <c r="G54" s="3">
        <v>700</v>
      </c>
      <c r="H54" s="3">
        <v>845</v>
      </c>
      <c r="I54" s="32">
        <v>1055</v>
      </c>
      <c r="J54" s="38">
        <v>2.6</v>
      </c>
      <c r="K54" s="82">
        <f t="shared" si="25"/>
        <v>1430</v>
      </c>
      <c r="L54" s="89">
        <f t="shared" si="26"/>
        <v>1586</v>
      </c>
      <c r="M54" s="26">
        <f t="shared" si="27"/>
        <v>1820</v>
      </c>
      <c r="N54" s="26">
        <f t="shared" si="28"/>
        <v>2197</v>
      </c>
      <c r="O54" s="10">
        <f t="shared" si="29"/>
        <v>2743</v>
      </c>
      <c r="P54" s="165">
        <v>80</v>
      </c>
      <c r="Q54" s="155" t="s">
        <v>81</v>
      </c>
    </row>
    <row r="55" spans="1:17" s="54" customFormat="1" ht="16.149999999999999" customHeight="1" x14ac:dyDescent="0.2">
      <c r="A55" s="53"/>
      <c r="B55" s="16" t="s">
        <v>40</v>
      </c>
      <c r="C55" s="2" t="s">
        <v>46</v>
      </c>
      <c r="D55" s="22" t="s">
        <v>288</v>
      </c>
      <c r="E55" s="3">
        <v>865</v>
      </c>
      <c r="F55" s="3">
        <v>965</v>
      </c>
      <c r="G55" s="3">
        <v>1105</v>
      </c>
      <c r="H55" s="3">
        <v>1335</v>
      </c>
      <c r="I55" s="32">
        <v>1670</v>
      </c>
      <c r="J55" s="38">
        <v>1.4</v>
      </c>
      <c r="K55" s="82">
        <f t="shared" si="25"/>
        <v>1211</v>
      </c>
      <c r="L55" s="89">
        <f t="shared" si="26"/>
        <v>1351</v>
      </c>
      <c r="M55" s="26">
        <f t="shared" si="27"/>
        <v>1547</v>
      </c>
      <c r="N55" s="26">
        <f t="shared" si="28"/>
        <v>1868.9999999999998</v>
      </c>
      <c r="O55" s="10">
        <f t="shared" si="29"/>
        <v>2338</v>
      </c>
      <c r="P55" s="165">
        <v>80</v>
      </c>
      <c r="Q55" s="155" t="s">
        <v>81</v>
      </c>
    </row>
    <row r="56" spans="1:17" s="54" customFormat="1" ht="16.149999999999999" customHeight="1" x14ac:dyDescent="0.2">
      <c r="A56" s="53"/>
      <c r="B56" s="16" t="s">
        <v>10</v>
      </c>
      <c r="C56" s="2" t="s">
        <v>28</v>
      </c>
      <c r="D56" s="22" t="s">
        <v>291</v>
      </c>
      <c r="E56" s="3">
        <v>675</v>
      </c>
      <c r="F56" s="3">
        <v>750</v>
      </c>
      <c r="G56" s="3">
        <v>865</v>
      </c>
      <c r="H56" s="3">
        <v>1040</v>
      </c>
      <c r="I56" s="32">
        <v>1300</v>
      </c>
      <c r="J56" s="38">
        <v>1.4</v>
      </c>
      <c r="K56" s="82">
        <f t="shared" si="25"/>
        <v>944.99999999999989</v>
      </c>
      <c r="L56" s="89">
        <f t="shared" si="26"/>
        <v>1050</v>
      </c>
      <c r="M56" s="26">
        <f t="shared" si="27"/>
        <v>1211</v>
      </c>
      <c r="N56" s="26">
        <f t="shared" si="28"/>
        <v>1456</v>
      </c>
      <c r="O56" s="10">
        <f t="shared" si="29"/>
        <v>1819.9999999999998</v>
      </c>
      <c r="P56" s="165">
        <v>80</v>
      </c>
      <c r="Q56" s="155" t="s">
        <v>81</v>
      </c>
    </row>
    <row r="57" spans="1:17" s="54" customFormat="1" ht="16.149999999999999" customHeight="1" x14ac:dyDescent="0.2">
      <c r="A57" s="53"/>
      <c r="B57" s="16" t="s">
        <v>22</v>
      </c>
      <c r="C57" s="2" t="s">
        <v>51</v>
      </c>
      <c r="D57" s="22" t="s">
        <v>289</v>
      </c>
      <c r="E57" s="3">
        <v>580</v>
      </c>
      <c r="F57" s="3">
        <v>645</v>
      </c>
      <c r="G57" s="3">
        <v>745</v>
      </c>
      <c r="H57" s="3">
        <v>895</v>
      </c>
      <c r="I57" s="32">
        <v>1120</v>
      </c>
      <c r="J57" s="38">
        <v>2</v>
      </c>
      <c r="K57" s="82">
        <f t="shared" si="25"/>
        <v>1160</v>
      </c>
      <c r="L57" s="89">
        <f t="shared" si="26"/>
        <v>1290</v>
      </c>
      <c r="M57" s="26">
        <f t="shared" si="27"/>
        <v>1490</v>
      </c>
      <c r="N57" s="26">
        <f t="shared" si="28"/>
        <v>1790</v>
      </c>
      <c r="O57" s="10">
        <f t="shared" si="29"/>
        <v>2240</v>
      </c>
      <c r="P57" s="165">
        <v>80</v>
      </c>
      <c r="Q57" s="155" t="s">
        <v>81</v>
      </c>
    </row>
    <row r="58" spans="1:17" s="54" customFormat="1" ht="16.149999999999999" customHeight="1" thickBot="1" x14ac:dyDescent="0.25">
      <c r="A58" s="53"/>
      <c r="B58" s="172" t="s">
        <v>43</v>
      </c>
      <c r="C58" s="173" t="s">
        <v>49</v>
      </c>
      <c r="D58" s="174" t="s">
        <v>290</v>
      </c>
      <c r="E58" s="170">
        <v>735</v>
      </c>
      <c r="F58" s="170">
        <v>820</v>
      </c>
      <c r="G58" s="170">
        <v>940</v>
      </c>
      <c r="H58" s="170">
        <v>1135</v>
      </c>
      <c r="I58" s="171">
        <v>1415</v>
      </c>
      <c r="J58" s="175">
        <v>1.3</v>
      </c>
      <c r="K58" s="137">
        <f>E58*$J58</f>
        <v>955.5</v>
      </c>
      <c r="L58" s="89">
        <f>F58*$J58</f>
        <v>1066</v>
      </c>
      <c r="M58" s="26">
        <f>G58*$J58</f>
        <v>1222</v>
      </c>
      <c r="N58" s="26">
        <f>H58*$J58</f>
        <v>1475.5</v>
      </c>
      <c r="O58" s="10">
        <f>I58*$J58</f>
        <v>1839.5</v>
      </c>
      <c r="P58" s="165">
        <v>80</v>
      </c>
      <c r="Q58" s="157" t="s">
        <v>81</v>
      </c>
    </row>
    <row r="59" spans="1:17" s="54" customFormat="1" ht="16.149999999999999" customHeight="1" x14ac:dyDescent="0.2">
      <c r="A59" s="59"/>
      <c r="B59" s="138" t="s">
        <v>2</v>
      </c>
      <c r="C59" s="139" t="s">
        <v>134</v>
      </c>
      <c r="D59" s="140" t="s">
        <v>292</v>
      </c>
      <c r="E59" s="141">
        <v>575</v>
      </c>
      <c r="F59" s="141">
        <v>640</v>
      </c>
      <c r="G59" s="141">
        <v>735</v>
      </c>
      <c r="H59" s="141">
        <v>885</v>
      </c>
      <c r="I59" s="142">
        <v>1105</v>
      </c>
      <c r="J59" s="143">
        <v>2</v>
      </c>
      <c r="K59" s="144"/>
      <c r="L59" s="89">
        <f>F59*$J59</f>
        <v>1280</v>
      </c>
      <c r="M59" s="26">
        <f t="shared" ref="M59:M70" si="30">G59*$J59</f>
        <v>1470</v>
      </c>
      <c r="N59" s="26">
        <f t="shared" ref="N59:N70" si="31">H59*$J59</f>
        <v>1770</v>
      </c>
      <c r="O59" s="10">
        <f t="shared" ref="O59:O70" si="32">I59*$J59</f>
        <v>2210</v>
      </c>
      <c r="P59" s="165">
        <v>80</v>
      </c>
      <c r="Q59" s="155"/>
    </row>
    <row r="60" spans="1:17" s="54" customFormat="1" ht="16.149999999999999" customHeight="1" x14ac:dyDescent="0.2">
      <c r="A60" s="68"/>
      <c r="B60" s="16" t="s">
        <v>14</v>
      </c>
      <c r="C60" s="2" t="s">
        <v>135</v>
      </c>
      <c r="D60" s="22" t="s">
        <v>293</v>
      </c>
      <c r="E60" s="3">
        <v>480</v>
      </c>
      <c r="F60" s="3">
        <v>535</v>
      </c>
      <c r="G60" s="3">
        <v>615</v>
      </c>
      <c r="H60" s="3">
        <v>740</v>
      </c>
      <c r="I60" s="32">
        <v>925</v>
      </c>
      <c r="J60" s="38">
        <v>3.9</v>
      </c>
      <c r="K60" s="82"/>
      <c r="L60" s="89">
        <f t="shared" ref="L60:L70" si="33">F60*$J60</f>
        <v>2086.5</v>
      </c>
      <c r="M60" s="26">
        <f t="shared" si="30"/>
        <v>2398.5</v>
      </c>
      <c r="N60" s="26">
        <f t="shared" si="31"/>
        <v>2886</v>
      </c>
      <c r="O60" s="10">
        <f t="shared" si="32"/>
        <v>3607.5</v>
      </c>
      <c r="P60" s="165">
        <v>80</v>
      </c>
      <c r="Q60" s="155"/>
    </row>
    <row r="61" spans="1:17" s="54" customFormat="1" ht="16.149999999999999" customHeight="1" x14ac:dyDescent="0.2">
      <c r="A61" s="68"/>
      <c r="B61" s="16" t="s">
        <v>35</v>
      </c>
      <c r="C61" s="2" t="s">
        <v>136</v>
      </c>
      <c r="D61" s="22" t="s">
        <v>294</v>
      </c>
      <c r="E61" s="3">
        <v>620</v>
      </c>
      <c r="F61" s="3">
        <v>690</v>
      </c>
      <c r="G61" s="3">
        <v>795</v>
      </c>
      <c r="H61" s="3">
        <v>955</v>
      </c>
      <c r="I61" s="32">
        <v>1195</v>
      </c>
      <c r="J61" s="38">
        <v>2.6</v>
      </c>
      <c r="K61" s="82"/>
      <c r="L61" s="89">
        <f t="shared" si="33"/>
        <v>1794</v>
      </c>
      <c r="M61" s="26">
        <f t="shared" si="30"/>
        <v>2067</v>
      </c>
      <c r="N61" s="26">
        <f t="shared" si="31"/>
        <v>2483</v>
      </c>
      <c r="O61" s="10">
        <f t="shared" si="32"/>
        <v>3107</v>
      </c>
      <c r="P61" s="165">
        <v>80</v>
      </c>
      <c r="Q61" s="155"/>
    </row>
    <row r="62" spans="1:17" s="54" customFormat="1" ht="16.149999999999999" customHeight="1" x14ac:dyDescent="0.2">
      <c r="A62" s="68"/>
      <c r="B62" s="16" t="s">
        <v>5</v>
      </c>
      <c r="C62" s="2" t="s">
        <v>137</v>
      </c>
      <c r="D62" s="22" t="s">
        <v>295</v>
      </c>
      <c r="E62" s="3">
        <v>575</v>
      </c>
      <c r="F62" s="3">
        <v>640</v>
      </c>
      <c r="G62" s="3">
        <v>735</v>
      </c>
      <c r="H62" s="3">
        <v>885</v>
      </c>
      <c r="I62" s="32">
        <v>1105</v>
      </c>
      <c r="J62" s="38">
        <v>1.8</v>
      </c>
      <c r="K62" s="82"/>
      <c r="L62" s="89">
        <f t="shared" si="33"/>
        <v>1152</v>
      </c>
      <c r="M62" s="26">
        <f t="shared" si="30"/>
        <v>1323</v>
      </c>
      <c r="N62" s="26">
        <f t="shared" si="31"/>
        <v>1593</v>
      </c>
      <c r="O62" s="10">
        <f t="shared" si="32"/>
        <v>1989</v>
      </c>
      <c r="P62" s="165">
        <v>80</v>
      </c>
      <c r="Q62" s="155"/>
    </row>
    <row r="63" spans="1:17" s="54" customFormat="1" ht="16.149999999999999" customHeight="1" x14ac:dyDescent="0.2">
      <c r="A63" s="68"/>
      <c r="B63" s="16" t="s">
        <v>17</v>
      </c>
      <c r="C63" s="2" t="s">
        <v>138</v>
      </c>
      <c r="D63" s="22" t="s">
        <v>296</v>
      </c>
      <c r="E63" s="3">
        <v>505</v>
      </c>
      <c r="F63" s="3">
        <v>560</v>
      </c>
      <c r="G63" s="3">
        <v>640</v>
      </c>
      <c r="H63" s="3">
        <v>775</v>
      </c>
      <c r="I63" s="32">
        <v>965</v>
      </c>
      <c r="J63" s="38">
        <v>2.6</v>
      </c>
      <c r="K63" s="82"/>
      <c r="L63" s="89">
        <f t="shared" si="33"/>
        <v>1456</v>
      </c>
      <c r="M63" s="26">
        <f t="shared" si="30"/>
        <v>1664</v>
      </c>
      <c r="N63" s="26">
        <f t="shared" si="31"/>
        <v>2015</v>
      </c>
      <c r="O63" s="10">
        <f t="shared" si="32"/>
        <v>2509</v>
      </c>
      <c r="P63" s="165">
        <v>80</v>
      </c>
      <c r="Q63" s="155"/>
    </row>
    <row r="64" spans="1:17" s="54" customFormat="1" ht="16.149999999999999" customHeight="1" x14ac:dyDescent="0.2">
      <c r="A64" s="68"/>
      <c r="B64" s="16" t="s">
        <v>36</v>
      </c>
      <c r="C64" s="2" t="s">
        <v>139</v>
      </c>
      <c r="D64" s="22" t="s">
        <v>297</v>
      </c>
      <c r="E64" s="3">
        <v>585</v>
      </c>
      <c r="F64" s="3">
        <v>650</v>
      </c>
      <c r="G64" s="3">
        <v>750</v>
      </c>
      <c r="H64" s="3">
        <v>905</v>
      </c>
      <c r="I64" s="32">
        <v>1130</v>
      </c>
      <c r="J64" s="38">
        <v>1.9</v>
      </c>
      <c r="K64" s="82"/>
      <c r="L64" s="89">
        <f t="shared" si="33"/>
        <v>1235</v>
      </c>
      <c r="M64" s="26">
        <f t="shared" si="30"/>
        <v>1425</v>
      </c>
      <c r="N64" s="26">
        <f t="shared" si="31"/>
        <v>1719.5</v>
      </c>
      <c r="O64" s="10">
        <f t="shared" si="32"/>
        <v>2147</v>
      </c>
      <c r="P64" s="165">
        <v>80</v>
      </c>
      <c r="Q64" s="155"/>
    </row>
    <row r="65" spans="1:17" s="54" customFormat="1" ht="16.149999999999999" customHeight="1" x14ac:dyDescent="0.2">
      <c r="A65" s="68"/>
      <c r="B65" s="16" t="s">
        <v>8</v>
      </c>
      <c r="C65" s="2" t="s">
        <v>26</v>
      </c>
      <c r="D65" s="22" t="s">
        <v>298</v>
      </c>
      <c r="E65" s="3">
        <v>695</v>
      </c>
      <c r="F65" s="3">
        <v>770</v>
      </c>
      <c r="G65" s="3">
        <v>885</v>
      </c>
      <c r="H65" s="3">
        <v>1065</v>
      </c>
      <c r="I65" s="32">
        <v>1335</v>
      </c>
      <c r="J65" s="38">
        <v>1.3</v>
      </c>
      <c r="K65" s="82"/>
      <c r="L65" s="89">
        <f t="shared" si="33"/>
        <v>1001</v>
      </c>
      <c r="M65" s="26">
        <f t="shared" si="30"/>
        <v>1150.5</v>
      </c>
      <c r="N65" s="26">
        <f t="shared" si="31"/>
        <v>1384.5</v>
      </c>
      <c r="O65" s="10">
        <f t="shared" si="32"/>
        <v>1735.5</v>
      </c>
      <c r="P65" s="165">
        <v>80</v>
      </c>
      <c r="Q65" s="155"/>
    </row>
    <row r="66" spans="1:17" s="54" customFormat="1" ht="16.149999999999999" customHeight="1" x14ac:dyDescent="0.2">
      <c r="A66" s="68"/>
      <c r="B66" s="16" t="s">
        <v>20</v>
      </c>
      <c r="C66" s="2" t="s">
        <v>31</v>
      </c>
      <c r="D66" s="22" t="s">
        <v>299</v>
      </c>
      <c r="E66" s="3">
        <v>515</v>
      </c>
      <c r="F66" s="3">
        <v>570</v>
      </c>
      <c r="G66" s="3">
        <v>655</v>
      </c>
      <c r="H66" s="3">
        <v>790</v>
      </c>
      <c r="I66" s="32">
        <v>990</v>
      </c>
      <c r="J66" s="38">
        <v>2.6</v>
      </c>
      <c r="K66" s="82"/>
      <c r="L66" s="89">
        <f t="shared" si="33"/>
        <v>1482</v>
      </c>
      <c r="M66" s="26">
        <f t="shared" si="30"/>
        <v>1703</v>
      </c>
      <c r="N66" s="26">
        <f t="shared" si="31"/>
        <v>2054</v>
      </c>
      <c r="O66" s="10">
        <f t="shared" si="32"/>
        <v>2574</v>
      </c>
      <c r="P66" s="165">
        <v>80</v>
      </c>
      <c r="Q66" s="155"/>
    </row>
    <row r="67" spans="1:17" s="54" customFormat="1" ht="16.149999999999999" customHeight="1" x14ac:dyDescent="0.2">
      <c r="A67" s="68"/>
      <c r="B67" s="16" t="s">
        <v>41</v>
      </c>
      <c r="C67" s="2" t="s">
        <v>47</v>
      </c>
      <c r="D67" s="22" t="s">
        <v>300</v>
      </c>
      <c r="E67" s="3">
        <v>810</v>
      </c>
      <c r="F67" s="3">
        <v>900</v>
      </c>
      <c r="G67" s="3">
        <v>1035</v>
      </c>
      <c r="H67" s="3">
        <v>1250</v>
      </c>
      <c r="I67" s="32">
        <v>1560</v>
      </c>
      <c r="J67" s="38">
        <v>1.4</v>
      </c>
      <c r="K67" s="82"/>
      <c r="L67" s="89">
        <f t="shared" si="33"/>
        <v>1260</v>
      </c>
      <c r="M67" s="26">
        <f t="shared" si="30"/>
        <v>1449</v>
      </c>
      <c r="N67" s="26">
        <f t="shared" si="31"/>
        <v>1750</v>
      </c>
      <c r="O67" s="10">
        <f t="shared" si="32"/>
        <v>2184</v>
      </c>
      <c r="P67" s="165">
        <v>80</v>
      </c>
      <c r="Q67" s="155"/>
    </row>
    <row r="68" spans="1:17" s="54" customFormat="1" ht="16.149999999999999" customHeight="1" x14ac:dyDescent="0.2">
      <c r="A68" s="68"/>
      <c r="B68" s="16" t="s">
        <v>11</v>
      </c>
      <c r="C68" s="2" t="s">
        <v>29</v>
      </c>
      <c r="D68" s="22" t="s">
        <v>301</v>
      </c>
      <c r="E68" s="3">
        <v>635</v>
      </c>
      <c r="F68" s="3">
        <v>705</v>
      </c>
      <c r="G68" s="3">
        <v>810</v>
      </c>
      <c r="H68" s="3">
        <v>975</v>
      </c>
      <c r="I68" s="32">
        <v>1215</v>
      </c>
      <c r="J68" s="38">
        <v>1.4</v>
      </c>
      <c r="K68" s="82"/>
      <c r="L68" s="89">
        <f t="shared" si="33"/>
        <v>986.99999999999989</v>
      </c>
      <c r="M68" s="26">
        <f t="shared" si="30"/>
        <v>1134</v>
      </c>
      <c r="N68" s="26">
        <f t="shared" si="31"/>
        <v>1365</v>
      </c>
      <c r="O68" s="10">
        <f t="shared" si="32"/>
        <v>1701</v>
      </c>
      <c r="P68" s="165">
        <v>80</v>
      </c>
      <c r="Q68" s="155"/>
    </row>
    <row r="69" spans="1:17" s="54" customFormat="1" ht="16.149999999999999" customHeight="1" x14ac:dyDescent="0.2">
      <c r="A69" s="68"/>
      <c r="B69" s="16" t="s">
        <v>23</v>
      </c>
      <c r="C69" s="2" t="s">
        <v>52</v>
      </c>
      <c r="D69" s="22" t="s">
        <v>302</v>
      </c>
      <c r="E69" s="3">
        <v>545</v>
      </c>
      <c r="F69" s="3">
        <v>605</v>
      </c>
      <c r="G69" s="3">
        <v>695</v>
      </c>
      <c r="H69" s="3">
        <v>840</v>
      </c>
      <c r="I69" s="32">
        <v>1050</v>
      </c>
      <c r="J69" s="38">
        <v>2</v>
      </c>
      <c r="K69" s="82"/>
      <c r="L69" s="89">
        <f t="shared" si="33"/>
        <v>1210</v>
      </c>
      <c r="M69" s="26">
        <f t="shared" si="30"/>
        <v>1390</v>
      </c>
      <c r="N69" s="26">
        <f t="shared" si="31"/>
        <v>1680</v>
      </c>
      <c r="O69" s="10">
        <f t="shared" si="32"/>
        <v>2100</v>
      </c>
      <c r="P69" s="165">
        <v>80</v>
      </c>
      <c r="Q69" s="155"/>
    </row>
    <row r="70" spans="1:17" s="54" customFormat="1" ht="16.149999999999999" customHeight="1" thickBot="1" x14ac:dyDescent="0.25">
      <c r="A70" s="147"/>
      <c r="B70" s="18" t="s">
        <v>44</v>
      </c>
      <c r="C70" s="19" t="s">
        <v>50</v>
      </c>
      <c r="D70" s="23" t="s">
        <v>303</v>
      </c>
      <c r="E70" s="20">
        <v>690</v>
      </c>
      <c r="F70" s="20">
        <v>765</v>
      </c>
      <c r="G70" s="20">
        <v>880</v>
      </c>
      <c r="H70" s="20">
        <v>1060</v>
      </c>
      <c r="I70" s="33">
        <v>1325</v>
      </c>
      <c r="J70" s="39">
        <v>1.3</v>
      </c>
      <c r="K70" s="84"/>
      <c r="L70" s="91">
        <f t="shared" si="33"/>
        <v>994.5</v>
      </c>
      <c r="M70" s="27">
        <f t="shared" si="30"/>
        <v>1144</v>
      </c>
      <c r="N70" s="27">
        <f t="shared" si="31"/>
        <v>1378</v>
      </c>
      <c r="O70" s="166">
        <f t="shared" si="32"/>
        <v>1722.5</v>
      </c>
      <c r="P70" s="167">
        <v>80</v>
      </c>
      <c r="Q70" s="155"/>
    </row>
    <row r="71" spans="1:17" ht="13.15" customHeight="1" thickBot="1" x14ac:dyDescent="0.25"/>
    <row r="72" spans="1:17" ht="25.15" customHeight="1" thickBot="1" x14ac:dyDescent="0.25">
      <c r="B72" s="56"/>
      <c r="C72" s="56" t="s">
        <v>58</v>
      </c>
      <c r="D72" s="57"/>
      <c r="E72" s="57"/>
      <c r="F72" s="57"/>
      <c r="G72" s="57"/>
      <c r="H72" s="58"/>
      <c r="L72" s="132">
        <f>SUM(L7:P70)+SUM('SW-Bau-Index'!F19:G74)</f>
        <v>520789.77291666658</v>
      </c>
    </row>
    <row r="73" spans="1:17" ht="13.5" thickBot="1" x14ac:dyDescent="0.25">
      <c r="B73" s="59"/>
      <c r="C73" s="59"/>
      <c r="D73" s="60"/>
      <c r="E73" s="60"/>
      <c r="F73" s="60"/>
      <c r="G73" s="61" t="s">
        <v>70</v>
      </c>
      <c r="H73" s="62" t="s">
        <v>71</v>
      </c>
      <c r="L73" s="132">
        <v>470296.77291666664</v>
      </c>
    </row>
    <row r="74" spans="1:17" ht="13.5" thickBot="1" x14ac:dyDescent="0.25">
      <c r="B74" s="45"/>
      <c r="C74" s="1120" t="s">
        <v>84</v>
      </c>
      <c r="D74" s="1121"/>
      <c r="E74" s="829"/>
      <c r="F74" s="850" t="e">
        <f>ROUND(VLOOKUP(KPA!O7,D6:O70,IF(KPA!F11&lt;0,8,IF(KPA!F11&lt;1995,9,IF(KPA!F11&lt;2005,10,11))),FALSE),0)</f>
        <v>#N/A</v>
      </c>
      <c r="G74" s="851">
        <f>ROUND(485*(3*6*1.3),0)</f>
        <v>11349</v>
      </c>
      <c r="H74" s="852">
        <f>ROUND(715*(7.5*2.3*1.1),0)</f>
        <v>13567</v>
      </c>
    </row>
    <row r="75" spans="1:17" ht="13.5" thickBot="1" x14ac:dyDescent="0.25">
      <c r="B75" s="45"/>
      <c r="C75" s="45"/>
      <c r="D75" s="539" t="s">
        <v>80</v>
      </c>
      <c r="E75" s="63"/>
      <c r="F75" s="544" t="e">
        <f>VLOOKUP(KPA!O7,D6:O70,7,FALSE)</f>
        <v>#N/A</v>
      </c>
      <c r="G75" s="856"/>
      <c r="H75" s="857"/>
    </row>
    <row r="76" spans="1:17" s="65" customFormat="1" ht="13.5" thickBot="1" x14ac:dyDescent="0.25">
      <c r="B76" s="7"/>
      <c r="C76" s="7"/>
      <c r="D76" s="8" t="s">
        <v>85</v>
      </c>
      <c r="E76" s="64"/>
      <c r="F76" s="843" t="e">
        <f>IF(OR(LEFT(KPA!O7,3)="Woh",KPA!O7="Teileigentum: Mietwohngrundstücke (Mehrfamilienhäuser)"),IF(KPA!K11&lt;=35,ROUND('SW-NHK'!F74*1.1,0),IF(KPA!K11&gt;=135,ROUND('SW-NHK'!F74*0.85,0),F74)),'SW-NHK'!F74)</f>
        <v>#N/A</v>
      </c>
      <c r="G76" s="24"/>
      <c r="H76" s="25"/>
    </row>
    <row r="77" spans="1:17" s="65" customFormat="1" ht="13.5" thickBot="1" x14ac:dyDescent="0.25">
      <c r="B77" s="7"/>
      <c r="C77" s="7"/>
      <c r="D77" s="8" t="s">
        <v>116</v>
      </c>
      <c r="E77" s="64"/>
      <c r="F77" s="843" t="e">
        <f>ROUND(F76*1.03,0)</f>
        <v>#N/A</v>
      </c>
      <c r="G77" s="843">
        <f>G74</f>
        <v>11349</v>
      </c>
      <c r="H77" s="843">
        <f>H74</f>
        <v>13567</v>
      </c>
    </row>
    <row r="78" spans="1:17" ht="13.5" thickBot="1" x14ac:dyDescent="0.25">
      <c r="B78" s="71"/>
      <c r="C78" s="1112" t="s">
        <v>69</v>
      </c>
      <c r="D78" s="1113"/>
      <c r="E78" s="72"/>
      <c r="F78" s="73" t="e">
        <f>IF(KPA!E7="Geschäftsgrundstücke, Geschäftshäuser",'SW-Bau-Index'!G76,IF(KPA!E7="Geschäftsgrundstücke, Bürogebäude",'SW-Bau-Index'!G76,IF(KPA!E7="Teileigentum: Geschäftsgrundstücke (Geschäfts.)",'SW-Bau-Index'!G76,IF(KPA!E7="Teileigentum: Geschäftsgrundstücke (Bürog.) ",'SW-Bau-Index'!G76,'SW-Bau-Index'!F76))))</f>
        <v>#N/A</v>
      </c>
      <c r="G78" s="68"/>
      <c r="H78" s="69"/>
    </row>
    <row r="79" spans="1:17" ht="13.5" thickBot="1" x14ac:dyDescent="0.25">
      <c r="B79" s="839"/>
      <c r="C79" s="1107" t="s">
        <v>86</v>
      </c>
      <c r="D79" s="1108"/>
      <c r="E79" s="70"/>
      <c r="F79" s="844" t="e">
        <f>ROUND(F77*F78/100,0)</f>
        <v>#N/A</v>
      </c>
      <c r="G79" s="845" t="e">
        <f>ROUND(G77*F78/100,0)</f>
        <v>#N/A</v>
      </c>
      <c r="H79" s="846" t="e">
        <f>H77*F78/100</f>
        <v>#N/A</v>
      </c>
    </row>
    <row r="80" spans="1:17" s="65" customFormat="1" ht="15" customHeight="1" thickBot="1" x14ac:dyDescent="0.25">
      <c r="B80" s="840"/>
      <c r="C80" s="840"/>
      <c r="D80" s="841" t="s">
        <v>396</v>
      </c>
      <c r="E80" s="842"/>
      <c r="F80" s="847" t="e">
        <f>ROUND(F79*KPA!G47,0)</f>
        <v>#N/A</v>
      </c>
      <c r="G80" s="848" t="e">
        <f>ROUND(G79*KPA!G47,0)</f>
        <v>#N/A</v>
      </c>
      <c r="H80" s="849" t="e">
        <f>ROUND(H79*KPA!G47,0)</f>
        <v>#N/A</v>
      </c>
    </row>
    <row r="81" spans="2:8" ht="13.5" thickBot="1" x14ac:dyDescent="0.25">
      <c r="B81" s="46"/>
      <c r="C81" s="1114" t="s">
        <v>83</v>
      </c>
      <c r="D81" s="1115"/>
      <c r="E81" s="66"/>
      <c r="F81" s="67" t="e">
        <f>ROUND(VLOOKUP(KPA!O7,D6:P70,13,0),0)</f>
        <v>#N/A</v>
      </c>
      <c r="G81" s="858"/>
      <c r="H81" s="859"/>
    </row>
    <row r="82" spans="2:8" ht="13.5" thickBot="1" x14ac:dyDescent="0.25">
      <c r="B82" s="46"/>
      <c r="C82" s="46"/>
      <c r="D82" s="540" t="s">
        <v>245</v>
      </c>
      <c r="E82" s="66"/>
      <c r="F82" s="542" t="e">
        <f>IF('Fiktives Baujahr'!D18="",(IF(((F81-(KPA!G10-KPA!F11))*100)/F81&lt;30,F81*0.3,(F81-(KPA!G10-KPA!F11)))),'Fiktives Baujahr'!D18)</f>
        <v>#N/A</v>
      </c>
      <c r="G82" s="858"/>
      <c r="H82" s="859"/>
    </row>
    <row r="83" spans="2:8" ht="54" customHeight="1" thickBot="1" x14ac:dyDescent="0.25">
      <c r="B83" s="47"/>
      <c r="C83" s="1116" t="s">
        <v>89</v>
      </c>
      <c r="D83" s="1115"/>
      <c r="E83" s="66"/>
      <c r="F83" s="541" t="e">
        <f>IF('Fiktives Baujahr'!D18="",(IF(((F81-(KPA!G10-KPA!F11))*100)/F81&lt;30,30,((F81-(KPA!G10-KPA!F11))*100)/F81)),((F81-(KPA!G10-KPA!F11))*100)/F81)</f>
        <v>#N/A</v>
      </c>
      <c r="G83" s="858"/>
      <c r="H83" s="859"/>
    </row>
    <row r="84" spans="2:8" ht="67.900000000000006" customHeight="1" thickBot="1" x14ac:dyDescent="0.25">
      <c r="B84" s="1104" t="s">
        <v>392</v>
      </c>
      <c r="C84" s="1105"/>
      <c r="D84" s="1106"/>
      <c r="E84" s="70"/>
      <c r="F84" s="853" t="e">
        <f>ROUND(F80*F83/100,0)</f>
        <v>#N/A</v>
      </c>
      <c r="G84" s="854" t="e">
        <f>ROUND(G80*F83/100,0)</f>
        <v>#N/A</v>
      </c>
      <c r="H84" s="855" t="e">
        <f>ROUND(H80*F83/100,0)</f>
        <v>#N/A</v>
      </c>
    </row>
  </sheetData>
  <sheetProtection algorithmName="SHA-512" hashValue="zUY6jREcNf6um9RKLLHyw9pLkqa3bWoAQUW8TP3Nvbfy28BMgG931jvDz9M5z3P8b3o7Uh+akOM7veSJp5f/7Q==" saltValue="QoYodfzqy7PLkvhNOOxmOQ==" spinCount="100000" sheet="1" objects="1" scenarios="1"/>
  <customSheetViews>
    <customSheetView guid="{B8FE7C60-7D84-469C-BE86-7AE2888FE41C}" scale="80" showPageBreaks="1" hiddenColumns="1" state="hidden" view="pageBreakPreview" topLeftCell="A56">
      <selection activeCell="D61" sqref="D61"/>
      <rowBreaks count="1" manualBreakCount="1">
        <brk id="48" max="16383" man="1"/>
      </rowBreaks>
      <pageMargins left="0.7" right="0.7" top="0.78740157499999996" bottom="0.78740157499999996" header="0.3" footer="0.3"/>
      <pageSetup paperSize="9" scale="41" orientation="portrait" r:id="rId1"/>
    </customSheetView>
  </customSheetViews>
  <mergeCells count="9">
    <mergeCell ref="B84:D84"/>
    <mergeCell ref="C79:D79"/>
    <mergeCell ref="K2:O2"/>
    <mergeCell ref="E2:I2"/>
    <mergeCell ref="C78:D78"/>
    <mergeCell ref="C81:D81"/>
    <mergeCell ref="C83:D83"/>
    <mergeCell ref="L4:N4"/>
    <mergeCell ref="C74:D74"/>
  </mergeCells>
  <pageMargins left="0.70866141732283472" right="0.70866141732283472" top="0.78740157480314965" bottom="0.78740157480314965" header="0.31496062992125984" footer="0.31496062992125984"/>
  <pageSetup paperSize="9" scale="41" orientation="portrait" r:id="rId2"/>
  <rowBreaks count="1" manualBreakCount="1">
    <brk id="70" max="16383" man="1"/>
  </row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tabColor rgb="FFC00000"/>
  </sheetPr>
  <dimension ref="A1:I76"/>
  <sheetViews>
    <sheetView topLeftCell="A18" zoomScale="145" zoomScaleNormal="145" workbookViewId="0">
      <selection activeCell="F9" sqref="F9:G9"/>
    </sheetView>
  </sheetViews>
  <sheetFormatPr baseColWidth="10" defaultRowHeight="12.75" x14ac:dyDescent="0.2"/>
  <cols>
    <col min="1" max="5" customWidth="true" width="15.0"/>
    <col min="6" max="6" customWidth="true" style="97" width="18.7109375"/>
    <col min="7" max="7" customWidth="true" style="40" width="18.7109375"/>
  </cols>
  <sheetData>
    <row r="1" spans="1:9" ht="151.9" customHeight="1" x14ac:dyDescent="0.2">
      <c r="A1" s="41"/>
      <c r="B1" s="41"/>
      <c r="C1" s="41"/>
      <c r="D1" s="1126" t="s">
        <v>88</v>
      </c>
      <c r="E1" s="1126"/>
      <c r="F1" s="1126"/>
      <c r="G1" s="1126"/>
      <c r="H1" s="41"/>
      <c r="I1" s="41"/>
    </row>
    <row r="2" spans="1:9" x14ac:dyDescent="0.2">
      <c r="A2" s="41"/>
      <c r="B2" s="1122" t="s">
        <v>403</v>
      </c>
      <c r="C2" s="1127"/>
      <c r="D2" s="1122" t="s">
        <v>229</v>
      </c>
      <c r="E2" s="1123"/>
      <c r="F2" s="1124" t="s">
        <v>230</v>
      </c>
      <c r="G2" s="1125"/>
      <c r="H2" s="41"/>
      <c r="I2" s="41"/>
    </row>
    <row r="3" spans="1:9" ht="30" customHeight="1" x14ac:dyDescent="0.2">
      <c r="A3" s="41"/>
      <c r="B3" s="295" t="s">
        <v>119</v>
      </c>
      <c r="C3" s="293" t="s">
        <v>120</v>
      </c>
      <c r="D3" s="295" t="s">
        <v>119</v>
      </c>
      <c r="E3" s="293" t="s">
        <v>120</v>
      </c>
      <c r="F3" s="101" t="s">
        <v>119</v>
      </c>
      <c r="G3" s="102" t="s">
        <v>120</v>
      </c>
      <c r="H3" s="41"/>
      <c r="I3" s="41"/>
    </row>
    <row r="4" spans="1:9" ht="14.45" customHeight="1" x14ac:dyDescent="0.2">
      <c r="A4" s="42" t="s">
        <v>67</v>
      </c>
      <c r="B4" s="300">
        <v>129.80000000000001</v>
      </c>
      <c r="C4" s="294">
        <v>131.4</v>
      </c>
      <c r="D4" s="296"/>
      <c r="E4" s="294"/>
      <c r="F4" s="299">
        <f t="shared" ref="F4:G8" si="0">ROUND(B4/B$22*100,1)</f>
        <v>183.3</v>
      </c>
      <c r="G4" s="298">
        <f t="shared" si="0"/>
        <v>187.2</v>
      </c>
      <c r="H4" s="41"/>
      <c r="I4" s="41"/>
    </row>
    <row r="5" spans="1:9" x14ac:dyDescent="0.2">
      <c r="A5" s="43">
        <v>2027</v>
      </c>
      <c r="B5" s="300">
        <v>129.80000000000001</v>
      </c>
      <c r="C5" s="294">
        <v>131.4</v>
      </c>
      <c r="D5" s="300"/>
      <c r="E5" s="294"/>
      <c r="F5" s="299">
        <f t="shared" si="0"/>
        <v>183.3</v>
      </c>
      <c r="G5" s="298">
        <f t="shared" si="0"/>
        <v>187.2</v>
      </c>
    </row>
    <row r="6" spans="1:9" x14ac:dyDescent="0.2">
      <c r="A6" s="43">
        <v>2026</v>
      </c>
      <c r="B6" s="300">
        <v>129.80000000000001</v>
      </c>
      <c r="C6" s="294">
        <v>131.4</v>
      </c>
      <c r="D6" s="300"/>
      <c r="E6" s="294"/>
      <c r="F6" s="299">
        <f t="shared" si="0"/>
        <v>183.3</v>
      </c>
      <c r="G6" s="298">
        <f t="shared" si="0"/>
        <v>187.2</v>
      </c>
    </row>
    <row r="7" spans="1:9" x14ac:dyDescent="0.2">
      <c r="A7" s="43">
        <v>2025</v>
      </c>
      <c r="B7" s="300">
        <v>129.80000000000001</v>
      </c>
      <c r="C7" s="294">
        <v>131.4</v>
      </c>
      <c r="D7" s="300"/>
      <c r="E7" s="294"/>
      <c r="F7" s="299">
        <f t="shared" si="0"/>
        <v>183.3</v>
      </c>
      <c r="G7" s="298">
        <f t="shared" si="0"/>
        <v>187.2</v>
      </c>
    </row>
    <row r="8" spans="1:9" x14ac:dyDescent="0.2">
      <c r="A8" s="43">
        <v>2024</v>
      </c>
      <c r="B8" s="300">
        <v>129.80000000000001</v>
      </c>
      <c r="C8" s="294">
        <v>131.4</v>
      </c>
      <c r="D8" s="300"/>
      <c r="E8" s="294"/>
      <c r="F8" s="299">
        <f t="shared" si="0"/>
        <v>183.3</v>
      </c>
      <c r="G8" s="298">
        <f t="shared" si="0"/>
        <v>187.2</v>
      </c>
    </row>
    <row r="9" spans="1:9" x14ac:dyDescent="0.2">
      <c r="A9" s="43">
        <v>2023</v>
      </c>
      <c r="B9" s="300"/>
      <c r="C9" s="294"/>
      <c r="D9" s="300">
        <v>160.30000000000001</v>
      </c>
      <c r="E9" s="294">
        <v>162.80000000000001</v>
      </c>
      <c r="F9" s="299">
        <f>ROUND(D9/D$22*100,1)</f>
        <v>177.9</v>
      </c>
      <c r="G9" s="298">
        <f t="shared" ref="G9" si="1">ROUND(E9/E$22*100,1)</f>
        <v>181.3</v>
      </c>
    </row>
    <row r="10" spans="1:9" x14ac:dyDescent="0.2">
      <c r="A10" s="43">
        <v>2022</v>
      </c>
      <c r="B10" s="300"/>
      <c r="C10" s="294"/>
      <c r="D10" s="300">
        <v>147.80000000000001</v>
      </c>
      <c r="E10" s="294">
        <v>149.9</v>
      </c>
      <c r="F10" s="299">
        <f t="shared" ref="F10" si="2">ROUND(D10/D$22*100,1)</f>
        <v>164</v>
      </c>
      <c r="G10" s="298">
        <f>ROUND(E10/E$22*100,1)</f>
        <v>166.9</v>
      </c>
    </row>
    <row r="11" spans="1:9" x14ac:dyDescent="0.2">
      <c r="A11" s="43">
        <v>2021</v>
      </c>
      <c r="B11" s="300"/>
      <c r="C11" s="294"/>
      <c r="D11" s="300">
        <v>127</v>
      </c>
      <c r="E11" s="294">
        <v>127.5</v>
      </c>
      <c r="F11" s="299">
        <f t="shared" ref="F11" si="3">ROUND(D11/D$22*100,1)</f>
        <v>141</v>
      </c>
      <c r="G11" s="298">
        <f t="shared" ref="G11" si="4">ROUND(E11/E$22*100,1)</f>
        <v>142</v>
      </c>
    </row>
    <row r="12" spans="1:9" x14ac:dyDescent="0.2">
      <c r="A12" s="43">
        <v>2020</v>
      </c>
      <c r="B12" s="300"/>
      <c r="C12" s="294"/>
      <c r="D12" s="300">
        <v>116.4</v>
      </c>
      <c r="E12" s="294">
        <v>116.8</v>
      </c>
      <c r="F12" s="299">
        <f t="shared" ref="F12:G14" si="5">ROUND(D12/D$22*100,1)</f>
        <v>129.19999999999999</v>
      </c>
      <c r="G12" s="298">
        <f t="shared" si="5"/>
        <v>130.1</v>
      </c>
    </row>
    <row r="13" spans="1:9" x14ac:dyDescent="0.2">
      <c r="A13" s="43">
        <v>2019</v>
      </c>
      <c r="B13" s="300"/>
      <c r="C13" s="294"/>
      <c r="D13" s="300">
        <v>114.6</v>
      </c>
      <c r="E13" s="294">
        <v>115</v>
      </c>
      <c r="F13" s="299">
        <f t="shared" si="5"/>
        <v>127.2</v>
      </c>
      <c r="G13" s="298">
        <f t="shared" si="5"/>
        <v>128.1</v>
      </c>
    </row>
    <row r="14" spans="1:9" x14ac:dyDescent="0.2">
      <c r="A14" s="43">
        <v>2018</v>
      </c>
      <c r="B14" s="300"/>
      <c r="C14" s="294"/>
      <c r="D14" s="300">
        <v>109.9</v>
      </c>
      <c r="E14" s="294">
        <v>110.2</v>
      </c>
      <c r="F14" s="299">
        <f t="shared" si="5"/>
        <v>122</v>
      </c>
      <c r="G14" s="298">
        <f t="shared" si="5"/>
        <v>122.7</v>
      </c>
    </row>
    <row r="15" spans="1:9" x14ac:dyDescent="0.2">
      <c r="A15" s="43">
        <v>2017</v>
      </c>
      <c r="B15" s="301"/>
      <c r="C15" s="297"/>
      <c r="D15" s="301">
        <v>105.3</v>
      </c>
      <c r="E15" s="297">
        <v>105.5</v>
      </c>
      <c r="F15" s="94">
        <v>116.8</v>
      </c>
      <c r="G15" s="98">
        <v>117.4</v>
      </c>
    </row>
    <row r="16" spans="1:9" x14ac:dyDescent="0.2">
      <c r="A16" s="43">
        <v>2016</v>
      </c>
      <c r="B16" s="301"/>
      <c r="C16" s="297"/>
      <c r="D16" s="301">
        <v>102.1</v>
      </c>
      <c r="E16" s="297">
        <v>102.2</v>
      </c>
      <c r="F16" s="94">
        <v>113.4</v>
      </c>
      <c r="G16" s="98">
        <v>113.9</v>
      </c>
    </row>
    <row r="17" spans="1:7" x14ac:dyDescent="0.2">
      <c r="A17" s="43">
        <v>2015</v>
      </c>
      <c r="B17" s="301"/>
      <c r="C17" s="297"/>
      <c r="D17" s="301">
        <v>100</v>
      </c>
      <c r="E17" s="297">
        <v>100</v>
      </c>
      <c r="F17" s="94">
        <v>111.1</v>
      </c>
      <c r="G17" s="98">
        <v>111.4</v>
      </c>
    </row>
    <row r="18" spans="1:7" x14ac:dyDescent="0.2">
      <c r="A18" s="43">
        <v>2014</v>
      </c>
      <c r="B18" s="301"/>
      <c r="C18" s="297"/>
      <c r="D18" s="301">
        <v>98.5</v>
      </c>
      <c r="E18" s="297">
        <v>98.4</v>
      </c>
      <c r="F18" s="94">
        <v>109.4</v>
      </c>
      <c r="G18" s="98">
        <v>109.6</v>
      </c>
    </row>
    <row r="19" spans="1:7" x14ac:dyDescent="0.2">
      <c r="A19" s="43">
        <v>2013</v>
      </c>
      <c r="B19" s="301"/>
      <c r="C19" s="297"/>
      <c r="D19" s="301">
        <v>96.8</v>
      </c>
      <c r="E19" s="297">
        <v>96.7</v>
      </c>
      <c r="F19" s="94">
        <v>107.5</v>
      </c>
      <c r="G19" s="98">
        <v>107.6</v>
      </c>
    </row>
    <row r="20" spans="1:7" x14ac:dyDescent="0.2">
      <c r="A20" s="43">
        <v>2012</v>
      </c>
      <c r="B20" s="301"/>
      <c r="C20" s="297"/>
      <c r="D20" s="301">
        <v>94.9</v>
      </c>
      <c r="E20" s="297">
        <v>94.8</v>
      </c>
      <c r="F20" s="94">
        <v>105.4</v>
      </c>
      <c r="G20" s="98">
        <v>105.5</v>
      </c>
    </row>
    <row r="21" spans="1:7" x14ac:dyDescent="0.2">
      <c r="A21" s="43">
        <v>2011</v>
      </c>
      <c r="B21" s="301"/>
      <c r="C21" s="297"/>
      <c r="D21" s="301">
        <v>92.5</v>
      </c>
      <c r="E21" s="297">
        <v>92.5</v>
      </c>
      <c r="F21" s="94">
        <v>102.8</v>
      </c>
      <c r="G21" s="98">
        <v>103</v>
      </c>
    </row>
    <row r="22" spans="1:7" x14ac:dyDescent="0.2">
      <c r="A22" s="43">
        <v>2010</v>
      </c>
      <c r="B22" s="301">
        <v>70.8</v>
      </c>
      <c r="C22" s="297">
        <v>70.2</v>
      </c>
      <c r="D22" s="301">
        <v>90.1</v>
      </c>
      <c r="E22" s="297">
        <v>89.8</v>
      </c>
      <c r="F22" s="94">
        <v>100</v>
      </c>
      <c r="G22" s="98">
        <v>100</v>
      </c>
    </row>
    <row r="23" spans="1:7" x14ac:dyDescent="0.2">
      <c r="A23" s="43">
        <v>2009</v>
      </c>
      <c r="B23" s="301"/>
      <c r="C23" s="297"/>
      <c r="D23" s="301">
        <v>89.2</v>
      </c>
      <c r="E23" s="297">
        <v>88.7</v>
      </c>
      <c r="F23" s="94">
        <v>99</v>
      </c>
      <c r="G23" s="98">
        <v>98.8</v>
      </c>
    </row>
    <row r="24" spans="1:7" x14ac:dyDescent="0.2">
      <c r="A24" s="43">
        <v>2008</v>
      </c>
      <c r="B24" s="301"/>
      <c r="C24" s="297"/>
      <c r="D24" s="301">
        <v>88.4</v>
      </c>
      <c r="E24" s="297">
        <v>87.9</v>
      </c>
      <c r="F24" s="94">
        <v>98.2</v>
      </c>
      <c r="G24" s="98">
        <v>97.9</v>
      </c>
    </row>
    <row r="25" spans="1:7" x14ac:dyDescent="0.2">
      <c r="A25" s="43">
        <v>2007</v>
      </c>
      <c r="B25" s="301"/>
      <c r="C25" s="297"/>
      <c r="D25" s="301">
        <v>85.9</v>
      </c>
      <c r="E25" s="297">
        <v>85.2</v>
      </c>
      <c r="F25" s="94">
        <v>95.4</v>
      </c>
      <c r="G25" s="98">
        <v>94.8</v>
      </c>
    </row>
    <row r="26" spans="1:7" x14ac:dyDescent="0.2">
      <c r="A26" s="43">
        <v>2006</v>
      </c>
      <c r="B26" s="301"/>
      <c r="C26" s="297"/>
      <c r="D26" s="301">
        <v>80.599999999999994</v>
      </c>
      <c r="E26" s="297">
        <v>79.599999999999994</v>
      </c>
      <c r="F26" s="94">
        <v>89.5</v>
      </c>
      <c r="G26" s="98">
        <v>88.7</v>
      </c>
    </row>
    <row r="27" spans="1:7" x14ac:dyDescent="0.2">
      <c r="A27" s="43">
        <v>2005</v>
      </c>
      <c r="B27" s="301"/>
      <c r="C27" s="297"/>
      <c r="D27" s="301">
        <v>79.099999999999994</v>
      </c>
      <c r="E27" s="297">
        <v>78</v>
      </c>
      <c r="F27" s="94">
        <v>87.8</v>
      </c>
      <c r="G27" s="98">
        <v>86.9</v>
      </c>
    </row>
    <row r="28" spans="1:7" x14ac:dyDescent="0.2">
      <c r="A28" s="43">
        <v>2004</v>
      </c>
      <c r="B28" s="301"/>
      <c r="C28" s="297"/>
      <c r="D28" s="301">
        <v>78.3</v>
      </c>
      <c r="E28" s="297">
        <v>77</v>
      </c>
      <c r="F28" s="94">
        <v>87</v>
      </c>
      <c r="G28" s="98">
        <v>85.8</v>
      </c>
    </row>
    <row r="29" spans="1:7" ht="13.9" customHeight="1" x14ac:dyDescent="0.2">
      <c r="A29" s="43">
        <v>2003</v>
      </c>
      <c r="B29" s="301"/>
      <c r="C29" s="297"/>
      <c r="D29" s="301">
        <v>77.400000000000006</v>
      </c>
      <c r="E29" s="297">
        <v>76</v>
      </c>
      <c r="F29" s="94">
        <v>85.9</v>
      </c>
      <c r="G29" s="98">
        <v>84.6</v>
      </c>
    </row>
    <row r="30" spans="1:7" x14ac:dyDescent="0.2">
      <c r="A30" s="43">
        <v>2002</v>
      </c>
      <c r="B30" s="301"/>
      <c r="C30" s="297"/>
      <c r="D30" s="301">
        <v>77.400000000000006</v>
      </c>
      <c r="E30" s="297">
        <v>75.900000000000006</v>
      </c>
      <c r="F30" s="94">
        <v>85.9</v>
      </c>
      <c r="G30" s="98">
        <v>84.5</v>
      </c>
    </row>
    <row r="31" spans="1:7" x14ac:dyDescent="0.2">
      <c r="A31" s="43">
        <v>2001</v>
      </c>
      <c r="B31" s="301"/>
      <c r="C31" s="297"/>
      <c r="D31" s="301">
        <v>77.400000000000006</v>
      </c>
      <c r="E31" s="297">
        <v>75.8</v>
      </c>
      <c r="F31" s="94">
        <v>85.9</v>
      </c>
      <c r="G31" s="98">
        <v>84.4</v>
      </c>
    </row>
    <row r="32" spans="1:7" x14ac:dyDescent="0.2">
      <c r="A32" s="43">
        <v>2000</v>
      </c>
      <c r="B32" s="301"/>
      <c r="C32" s="297"/>
      <c r="D32" s="301">
        <v>77.400000000000006</v>
      </c>
      <c r="E32" s="297">
        <v>75.5</v>
      </c>
      <c r="F32" s="94">
        <v>85.9</v>
      </c>
      <c r="G32" s="98">
        <v>84.1</v>
      </c>
    </row>
    <row r="33" spans="1:7" x14ac:dyDescent="0.2">
      <c r="A33" s="43">
        <f t="shared" ref="A33:A61" si="6">A32-1</f>
        <v>1999</v>
      </c>
      <c r="B33" s="301"/>
      <c r="C33" s="297"/>
      <c r="D33" s="301">
        <v>77.2</v>
      </c>
      <c r="E33" s="297">
        <v>75</v>
      </c>
      <c r="F33" s="94">
        <v>85.7</v>
      </c>
      <c r="G33" s="98">
        <v>83.5</v>
      </c>
    </row>
    <row r="34" spans="1:7" x14ac:dyDescent="0.2">
      <c r="A34" s="43">
        <f t="shared" si="6"/>
        <v>1998</v>
      </c>
      <c r="B34" s="301"/>
      <c r="C34" s="297"/>
      <c r="D34" s="301">
        <v>77.400000000000006</v>
      </c>
      <c r="E34" s="297">
        <v>75.099999999999994</v>
      </c>
      <c r="F34" s="94">
        <v>86</v>
      </c>
      <c r="G34" s="98">
        <v>83.6</v>
      </c>
    </row>
    <row r="35" spans="1:7" x14ac:dyDescent="0.2">
      <c r="A35" s="43">
        <f t="shared" si="6"/>
        <v>1997</v>
      </c>
      <c r="B35" s="301"/>
      <c r="C35" s="297"/>
      <c r="D35" s="301">
        <v>77.7</v>
      </c>
      <c r="E35" s="297">
        <v>75.099999999999994</v>
      </c>
      <c r="F35" s="94">
        <v>86.3</v>
      </c>
      <c r="G35" s="98">
        <v>83.6</v>
      </c>
    </row>
    <row r="36" spans="1:7" x14ac:dyDescent="0.2">
      <c r="A36" s="43">
        <f t="shared" si="6"/>
        <v>1996</v>
      </c>
      <c r="B36" s="301"/>
      <c r="C36" s="297"/>
      <c r="D36" s="301">
        <v>78.3</v>
      </c>
      <c r="E36" s="297">
        <v>75.5</v>
      </c>
      <c r="F36" s="94">
        <v>86.9</v>
      </c>
      <c r="G36" s="98">
        <v>84.1</v>
      </c>
    </row>
    <row r="37" spans="1:7" x14ac:dyDescent="0.2">
      <c r="A37" s="43">
        <f t="shared" si="6"/>
        <v>1995</v>
      </c>
      <c r="B37" s="301"/>
      <c r="C37" s="297"/>
      <c r="D37" s="301">
        <v>78.400000000000006</v>
      </c>
      <c r="E37" s="297">
        <v>75.400000000000006</v>
      </c>
      <c r="F37" s="94">
        <v>87.1</v>
      </c>
      <c r="G37" s="98">
        <v>84</v>
      </c>
    </row>
    <row r="38" spans="1:7" x14ac:dyDescent="0.2">
      <c r="A38" s="43">
        <f t="shared" si="6"/>
        <v>1994</v>
      </c>
      <c r="B38" s="301"/>
      <c r="C38" s="297"/>
      <c r="D38" s="301">
        <v>76.7</v>
      </c>
      <c r="E38" s="297">
        <v>73.7</v>
      </c>
      <c r="F38" s="94">
        <v>85.1</v>
      </c>
      <c r="G38" s="98">
        <v>82.1</v>
      </c>
    </row>
    <row r="39" spans="1:7" x14ac:dyDescent="0.2">
      <c r="A39" s="43">
        <f t="shared" si="6"/>
        <v>1993</v>
      </c>
      <c r="B39" s="301"/>
      <c r="C39" s="297"/>
      <c r="D39" s="301">
        <v>74.900000000000006</v>
      </c>
      <c r="E39" s="297">
        <v>72</v>
      </c>
      <c r="F39" s="94">
        <v>83.1</v>
      </c>
      <c r="G39" s="98">
        <v>80.2</v>
      </c>
    </row>
    <row r="40" spans="1:7" x14ac:dyDescent="0.2">
      <c r="A40" s="43">
        <f t="shared" si="6"/>
        <v>1992</v>
      </c>
      <c r="B40" s="301"/>
      <c r="C40" s="297"/>
      <c r="D40" s="301">
        <v>71.3</v>
      </c>
      <c r="E40" s="297">
        <v>68.8</v>
      </c>
      <c r="F40" s="94">
        <v>79.2</v>
      </c>
      <c r="G40" s="98">
        <v>76.599999999999994</v>
      </c>
    </row>
    <row r="41" spans="1:7" x14ac:dyDescent="0.2">
      <c r="A41" s="43">
        <f t="shared" si="6"/>
        <v>1991</v>
      </c>
      <c r="B41" s="301"/>
      <c r="C41" s="297"/>
      <c r="D41" s="301">
        <v>67</v>
      </c>
      <c r="E41" s="297">
        <v>64.900000000000006</v>
      </c>
      <c r="F41" s="94">
        <v>74.5</v>
      </c>
      <c r="G41" s="98">
        <v>72.2</v>
      </c>
    </row>
    <row r="42" spans="1:7" x14ac:dyDescent="0.2">
      <c r="A42" s="43">
        <f t="shared" si="6"/>
        <v>1990</v>
      </c>
      <c r="B42" s="301"/>
      <c r="C42" s="297"/>
      <c r="D42" s="301">
        <v>62.7</v>
      </c>
      <c r="E42" s="297">
        <v>60.9</v>
      </c>
      <c r="F42" s="94">
        <v>69.599999999999994</v>
      </c>
      <c r="G42" s="98">
        <v>67.900000000000006</v>
      </c>
    </row>
    <row r="43" spans="1:7" x14ac:dyDescent="0.2">
      <c r="A43" s="43">
        <f t="shared" si="6"/>
        <v>1989</v>
      </c>
      <c r="B43" s="301"/>
      <c r="C43" s="297"/>
      <c r="D43" s="301">
        <v>58.9</v>
      </c>
      <c r="E43" s="297">
        <v>57.6</v>
      </c>
      <c r="F43" s="94">
        <v>65.400000000000006</v>
      </c>
      <c r="G43" s="98">
        <v>64.099999999999994</v>
      </c>
    </row>
    <row r="44" spans="1:7" x14ac:dyDescent="0.2">
      <c r="A44" s="43">
        <f>A43-1</f>
        <v>1988</v>
      </c>
      <c r="B44" s="301"/>
      <c r="C44" s="297"/>
      <c r="D44" s="301">
        <v>56.8</v>
      </c>
      <c r="E44" s="297">
        <v>55.6</v>
      </c>
      <c r="F44" s="94">
        <v>63.1</v>
      </c>
      <c r="G44" s="98">
        <v>61.9</v>
      </c>
    </row>
    <row r="45" spans="1:7" x14ac:dyDescent="0.2">
      <c r="A45" s="43">
        <f t="shared" si="6"/>
        <v>1987</v>
      </c>
      <c r="B45" s="301"/>
      <c r="C45" s="297"/>
      <c r="D45" s="301">
        <v>55.6</v>
      </c>
      <c r="E45" s="297">
        <v>54.2</v>
      </c>
      <c r="F45" s="94">
        <v>61.7</v>
      </c>
      <c r="G45" s="98">
        <v>60.4</v>
      </c>
    </row>
    <row r="46" spans="1:7" x14ac:dyDescent="0.2">
      <c r="A46" s="43">
        <f t="shared" si="6"/>
        <v>1986</v>
      </c>
      <c r="B46" s="301"/>
      <c r="C46" s="297"/>
      <c r="D46" s="301">
        <v>54.6</v>
      </c>
      <c r="E46" s="297">
        <v>53</v>
      </c>
      <c r="F46" s="94">
        <v>60.6</v>
      </c>
      <c r="G46" s="98">
        <v>59</v>
      </c>
    </row>
    <row r="47" spans="1:7" x14ac:dyDescent="0.2">
      <c r="A47" s="43">
        <f t="shared" si="6"/>
        <v>1985</v>
      </c>
      <c r="B47" s="301"/>
      <c r="C47" s="297"/>
      <c r="D47" s="301">
        <v>53.9</v>
      </c>
      <c r="E47" s="297">
        <v>52.1</v>
      </c>
      <c r="F47" s="94">
        <v>59.8</v>
      </c>
      <c r="G47" s="98">
        <v>58</v>
      </c>
    </row>
    <row r="48" spans="1:7" x14ac:dyDescent="0.2">
      <c r="A48" s="43">
        <f t="shared" si="6"/>
        <v>1984</v>
      </c>
      <c r="B48" s="301"/>
      <c r="C48" s="297"/>
      <c r="D48" s="301">
        <v>53.7</v>
      </c>
      <c r="E48" s="297">
        <v>51.6</v>
      </c>
      <c r="F48" s="94">
        <v>59.6</v>
      </c>
      <c r="G48" s="98">
        <v>57.5</v>
      </c>
    </row>
    <row r="49" spans="1:7" x14ac:dyDescent="0.2">
      <c r="A49" s="43">
        <f t="shared" si="6"/>
        <v>1983</v>
      </c>
      <c r="B49" s="301"/>
      <c r="C49" s="297"/>
      <c r="D49" s="301">
        <v>52.3</v>
      </c>
      <c r="E49" s="297">
        <v>50.1</v>
      </c>
      <c r="F49" s="94">
        <v>58.1</v>
      </c>
      <c r="G49" s="98">
        <v>55.9</v>
      </c>
    </row>
    <row r="50" spans="1:7" x14ac:dyDescent="0.2">
      <c r="A50" s="43">
        <f t="shared" si="6"/>
        <v>1982</v>
      </c>
      <c r="B50" s="301"/>
      <c r="C50" s="297"/>
      <c r="D50" s="301">
        <v>51.2</v>
      </c>
      <c r="E50" s="297">
        <v>49</v>
      </c>
      <c r="F50" s="94">
        <v>56.9</v>
      </c>
      <c r="G50" s="98">
        <v>54.6</v>
      </c>
    </row>
    <row r="51" spans="1:7" x14ac:dyDescent="0.2">
      <c r="A51" s="43">
        <f t="shared" si="6"/>
        <v>1981</v>
      </c>
      <c r="B51" s="301"/>
      <c r="C51" s="297"/>
      <c r="D51" s="301">
        <v>49.8</v>
      </c>
      <c r="E51" s="297">
        <v>47.3</v>
      </c>
      <c r="F51" s="94">
        <v>55.3</v>
      </c>
      <c r="G51" s="98">
        <v>52.6</v>
      </c>
    </row>
    <row r="52" spans="1:7" x14ac:dyDescent="0.2">
      <c r="A52" s="43">
        <f t="shared" si="6"/>
        <v>1980</v>
      </c>
      <c r="B52" s="301"/>
      <c r="C52" s="297"/>
      <c r="D52" s="301">
        <v>47.1</v>
      </c>
      <c r="E52" s="297">
        <v>44.5</v>
      </c>
      <c r="F52" s="94">
        <v>52.3</v>
      </c>
      <c r="G52" s="98">
        <v>49.6</v>
      </c>
    </row>
    <row r="53" spans="1:7" x14ac:dyDescent="0.2">
      <c r="A53" s="43">
        <f t="shared" si="6"/>
        <v>1979</v>
      </c>
      <c r="B53" s="301"/>
      <c r="C53" s="297"/>
      <c r="D53" s="301">
        <v>42.5</v>
      </c>
      <c r="E53" s="297">
        <v>40.4</v>
      </c>
      <c r="F53" s="94">
        <v>47.2</v>
      </c>
      <c r="G53" s="98">
        <v>45</v>
      </c>
    </row>
    <row r="54" spans="1:7" x14ac:dyDescent="0.2">
      <c r="A54" s="43">
        <f t="shared" si="6"/>
        <v>1978</v>
      </c>
      <c r="B54" s="301"/>
      <c r="C54" s="297"/>
      <c r="D54" s="301">
        <v>39.1</v>
      </c>
      <c r="E54" s="297">
        <v>37.4</v>
      </c>
      <c r="F54" s="94">
        <v>43.4</v>
      </c>
      <c r="G54" s="98">
        <v>41.6</v>
      </c>
    </row>
    <row r="55" spans="1:7" x14ac:dyDescent="0.2">
      <c r="A55" s="43">
        <f t="shared" si="6"/>
        <v>1977</v>
      </c>
      <c r="B55" s="301"/>
      <c r="C55" s="297"/>
      <c r="D55" s="301">
        <v>36.799999999999997</v>
      </c>
      <c r="E55" s="297">
        <v>35.4</v>
      </c>
      <c r="F55" s="94">
        <v>40.799999999999997</v>
      </c>
      <c r="G55" s="98">
        <v>39.5</v>
      </c>
    </row>
    <row r="56" spans="1:7" x14ac:dyDescent="0.2">
      <c r="A56" s="43">
        <f t="shared" si="6"/>
        <v>1976</v>
      </c>
      <c r="B56" s="301"/>
      <c r="C56" s="297"/>
      <c r="D56" s="301">
        <v>35.200000000000003</v>
      </c>
      <c r="E56" s="297">
        <v>33.799999999999997</v>
      </c>
      <c r="F56" s="94">
        <v>39.1</v>
      </c>
      <c r="G56" s="98">
        <v>37.700000000000003</v>
      </c>
    </row>
    <row r="57" spans="1:7" x14ac:dyDescent="0.2">
      <c r="A57" s="43">
        <f t="shared" si="6"/>
        <v>1975</v>
      </c>
      <c r="B57" s="301"/>
      <c r="C57" s="297"/>
      <c r="D57" s="301">
        <v>34</v>
      </c>
      <c r="E57" s="297">
        <v>32.799999999999997</v>
      </c>
      <c r="F57" s="94">
        <v>37.700000000000003</v>
      </c>
      <c r="G57" s="98">
        <v>36.5</v>
      </c>
    </row>
    <row r="58" spans="1:7" x14ac:dyDescent="0.2">
      <c r="A58" s="43">
        <f t="shared" si="6"/>
        <v>1974</v>
      </c>
      <c r="B58" s="301"/>
      <c r="C58" s="297"/>
      <c r="D58" s="301">
        <v>33.200000000000003</v>
      </c>
      <c r="E58" s="297">
        <v>32.1</v>
      </c>
      <c r="F58" s="94">
        <v>36.799999999999997</v>
      </c>
      <c r="G58" s="98">
        <v>35.700000000000003</v>
      </c>
    </row>
    <row r="59" spans="1:7" x14ac:dyDescent="0.2">
      <c r="A59" s="43">
        <f t="shared" si="6"/>
        <v>1973</v>
      </c>
      <c r="B59" s="301"/>
      <c r="C59" s="297"/>
      <c r="D59" s="301">
        <v>30.9</v>
      </c>
      <c r="E59" s="297">
        <v>30</v>
      </c>
      <c r="F59" s="94">
        <v>34.299999999999997</v>
      </c>
      <c r="G59" s="98">
        <v>33.4</v>
      </c>
    </row>
    <row r="60" spans="1:7" x14ac:dyDescent="0.2">
      <c r="A60" s="43">
        <f t="shared" si="6"/>
        <v>1972</v>
      </c>
      <c r="B60" s="301"/>
      <c r="C60" s="297"/>
      <c r="D60" s="301">
        <v>28.8</v>
      </c>
      <c r="E60" s="297">
        <v>28</v>
      </c>
      <c r="F60" s="94">
        <v>32</v>
      </c>
      <c r="G60" s="98">
        <v>31.2</v>
      </c>
    </row>
    <row r="61" spans="1:7" x14ac:dyDescent="0.2">
      <c r="A61" s="43">
        <f t="shared" si="6"/>
        <v>1971</v>
      </c>
      <c r="B61" s="301"/>
      <c r="C61" s="297"/>
      <c r="D61" s="301">
        <v>27</v>
      </c>
      <c r="E61" s="297">
        <v>26.3</v>
      </c>
      <c r="F61" s="94">
        <v>30</v>
      </c>
      <c r="G61" s="98">
        <v>29.3</v>
      </c>
    </row>
    <row r="62" spans="1:7" x14ac:dyDescent="0.2">
      <c r="A62" s="43">
        <f>A61-1</f>
        <v>1970</v>
      </c>
      <c r="B62" s="301"/>
      <c r="C62" s="297"/>
      <c r="D62" s="301">
        <v>24.4</v>
      </c>
      <c r="E62" s="297">
        <v>23.9</v>
      </c>
      <c r="F62" s="94">
        <v>27.1</v>
      </c>
      <c r="G62" s="98">
        <v>26.6</v>
      </c>
    </row>
    <row r="63" spans="1:7" x14ac:dyDescent="0.2">
      <c r="A63" s="43">
        <f t="shared" ref="A63:A73" si="7">A62-1</f>
        <v>1969</v>
      </c>
      <c r="B63" s="301"/>
      <c r="C63" s="297"/>
      <c r="D63" s="301">
        <v>21</v>
      </c>
      <c r="E63" s="297">
        <v>20.399999999999999</v>
      </c>
      <c r="F63" s="94">
        <v>23.3</v>
      </c>
      <c r="G63" s="98">
        <v>22.7</v>
      </c>
    </row>
    <row r="64" spans="1:7" x14ac:dyDescent="0.2">
      <c r="A64" s="43">
        <f t="shared" si="7"/>
        <v>1968</v>
      </c>
      <c r="B64" s="301"/>
      <c r="C64" s="297"/>
      <c r="D64" s="301">
        <v>19.899999999999999</v>
      </c>
      <c r="E64" s="297">
        <v>19.2</v>
      </c>
      <c r="F64" s="94">
        <v>22.1</v>
      </c>
      <c r="G64" s="98">
        <v>21.4</v>
      </c>
    </row>
    <row r="65" spans="1:7" x14ac:dyDescent="0.2">
      <c r="A65" s="43">
        <f t="shared" si="7"/>
        <v>1967</v>
      </c>
      <c r="B65" s="301"/>
      <c r="C65" s="297"/>
      <c r="D65" s="301">
        <v>19</v>
      </c>
      <c r="E65" s="297">
        <v>18.5</v>
      </c>
      <c r="F65" s="94">
        <v>21.1</v>
      </c>
      <c r="G65" s="98">
        <v>20.6</v>
      </c>
    </row>
    <row r="66" spans="1:7" x14ac:dyDescent="0.2">
      <c r="A66" s="43">
        <f t="shared" si="7"/>
        <v>1966</v>
      </c>
      <c r="B66" s="301"/>
      <c r="C66" s="297"/>
      <c r="D66" s="301">
        <v>19.399999999999999</v>
      </c>
      <c r="E66" s="297">
        <v>19</v>
      </c>
      <c r="F66" s="94">
        <v>21.6</v>
      </c>
      <c r="G66" s="98">
        <v>21.1</v>
      </c>
    </row>
    <row r="67" spans="1:7" x14ac:dyDescent="0.2">
      <c r="A67" s="43">
        <f t="shared" si="7"/>
        <v>1965</v>
      </c>
      <c r="B67" s="301"/>
      <c r="C67" s="297"/>
      <c r="D67" s="301">
        <v>18.899999999999999</v>
      </c>
      <c r="E67" s="297">
        <v>18.399999999999999</v>
      </c>
      <c r="F67" s="94">
        <v>21</v>
      </c>
      <c r="G67" s="98">
        <v>20.5</v>
      </c>
    </row>
    <row r="68" spans="1:7" x14ac:dyDescent="0.2">
      <c r="A68" s="43">
        <f t="shared" si="7"/>
        <v>1964</v>
      </c>
      <c r="B68" s="301"/>
      <c r="C68" s="297"/>
      <c r="D68" s="301">
        <v>18.100000000000001</v>
      </c>
      <c r="E68" s="297">
        <v>17.7</v>
      </c>
      <c r="F68" s="94">
        <v>20</v>
      </c>
      <c r="G68" s="98">
        <v>19.7</v>
      </c>
    </row>
    <row r="69" spans="1:7" x14ac:dyDescent="0.2">
      <c r="A69" s="43">
        <f t="shared" si="7"/>
        <v>1963</v>
      </c>
      <c r="B69" s="301"/>
      <c r="C69" s="297"/>
      <c r="D69" s="301">
        <v>17.2</v>
      </c>
      <c r="E69" s="297">
        <v>17</v>
      </c>
      <c r="F69" s="94">
        <v>19.100000000000001</v>
      </c>
      <c r="G69" s="98">
        <v>18.899999999999999</v>
      </c>
    </row>
    <row r="70" spans="1:7" x14ac:dyDescent="0.2">
      <c r="A70" s="43">
        <f t="shared" si="7"/>
        <v>1962</v>
      </c>
      <c r="B70" s="301"/>
      <c r="C70" s="297"/>
      <c r="D70" s="301">
        <v>16.399999999999999</v>
      </c>
      <c r="E70" s="297">
        <v>16.2</v>
      </c>
      <c r="F70" s="94">
        <v>18.3</v>
      </c>
      <c r="G70" s="98">
        <v>18</v>
      </c>
    </row>
    <row r="71" spans="1:7" x14ac:dyDescent="0.2">
      <c r="A71" s="43">
        <f t="shared" si="7"/>
        <v>1961</v>
      </c>
      <c r="B71" s="301"/>
      <c r="C71" s="297"/>
      <c r="D71" s="301">
        <v>15.2</v>
      </c>
      <c r="E71" s="297">
        <v>15</v>
      </c>
      <c r="F71" s="94">
        <v>16.8</v>
      </c>
      <c r="G71" s="98">
        <v>16.7</v>
      </c>
    </row>
    <row r="72" spans="1:7" x14ac:dyDescent="0.2">
      <c r="A72" s="43">
        <f t="shared" si="7"/>
        <v>1960</v>
      </c>
      <c r="B72" s="301"/>
      <c r="C72" s="297"/>
      <c r="D72" s="301">
        <v>14</v>
      </c>
      <c r="E72" s="297">
        <v>14</v>
      </c>
      <c r="F72" s="94">
        <v>15.6</v>
      </c>
      <c r="G72" s="98">
        <v>15.6</v>
      </c>
    </row>
    <row r="73" spans="1:7" x14ac:dyDescent="0.2">
      <c r="A73" s="43">
        <f t="shared" si="7"/>
        <v>1959</v>
      </c>
      <c r="B73" s="301"/>
      <c r="C73" s="297"/>
      <c r="D73" s="301">
        <v>13.1</v>
      </c>
      <c r="E73" s="297">
        <v>13.1</v>
      </c>
      <c r="F73" s="94">
        <v>14.6</v>
      </c>
      <c r="G73" s="98">
        <v>14.6</v>
      </c>
    </row>
    <row r="74" spans="1:7" x14ac:dyDescent="0.2">
      <c r="A74" s="43">
        <f>A73-1</f>
        <v>1958</v>
      </c>
      <c r="B74" s="301"/>
      <c r="C74" s="297"/>
      <c r="D74" s="301">
        <v>12.5</v>
      </c>
      <c r="E74" s="297">
        <v>12.5</v>
      </c>
      <c r="F74" s="94">
        <v>13.9</v>
      </c>
      <c r="G74" s="98">
        <v>13.9</v>
      </c>
    </row>
    <row r="75" spans="1:7" ht="13.5" thickBot="1" x14ac:dyDescent="0.25">
      <c r="A75" s="9"/>
      <c r="B75" s="9"/>
      <c r="C75" s="9"/>
      <c r="D75" s="9"/>
      <c r="E75" s="9"/>
      <c r="F75" s="95"/>
      <c r="G75" s="99"/>
    </row>
    <row r="76" spans="1:7" ht="13.5" thickBot="1" x14ac:dyDescent="0.25">
      <c r="A76" s="6" t="s">
        <v>68</v>
      </c>
      <c r="B76" s="292"/>
      <c r="C76" s="292"/>
      <c r="D76" s="292"/>
      <c r="E76" s="292"/>
      <c r="F76" s="96" t="e">
        <f>VLOOKUP(KPA!G10,'SW-Bau-Index'!A5:G74,6,FALSE)</f>
        <v>#N/A</v>
      </c>
      <c r="G76" s="100" t="e">
        <f>VLOOKUP(KPA!G10,'SW-Bau-Index'!A5:G74,7,FALSE)</f>
        <v>#N/A</v>
      </c>
    </row>
  </sheetData>
  <sheetProtection algorithmName="SHA-512" hashValue="S86/+tOajoDL85jbMa2S79rLopjP0gYzFdm8+/jPq1Q4M9UcQH505nTPHBvUrZZGNlAg+gfx85qen0tCC5DGgA==" saltValue="6BLfEsafeh4BiVazD0R+WA==" spinCount="100000" sheet="1" objects="1" scenarios="1"/>
  <customSheetViews>
    <customSheetView guid="{B8FE7C60-7D84-469C-BE86-7AE2888FE41C}" state="hidden">
      <pageMargins left="0.7" right="0.7" top="0.78740157499999996" bottom="0.78740157499999996" header="0.3" footer="0.3"/>
      <pageSetup paperSize="9" orientation="portrait" r:id="rId1"/>
    </customSheetView>
  </customSheetViews>
  <mergeCells count="4">
    <mergeCell ref="D2:E2"/>
    <mergeCell ref="F2:G2"/>
    <mergeCell ref="D1:G1"/>
    <mergeCell ref="B2:C2"/>
  </mergeCells>
  <pageMargins left="0.70866141732283472" right="0.70866141732283472" top="0.78740157480314965" bottom="0.78740157480314965"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2:L112"/>
  <sheetViews>
    <sheetView topLeftCell="A92" zoomScale="115" zoomScaleNormal="115" workbookViewId="0">
      <selection activeCell="C18" sqref="C18"/>
    </sheetView>
  </sheetViews>
  <sheetFormatPr baseColWidth="10" defaultRowHeight="12.75" x14ac:dyDescent="0.2"/>
  <cols>
    <col min="1" max="1" customWidth="true" width="3.140625"/>
    <col min="2" max="2" customWidth="true" width="1.28515625"/>
    <col min="3" max="3" customWidth="true" width="40.140625"/>
    <col min="4" max="6" customWidth="true" width="19.42578125"/>
    <col min="7" max="7" customWidth="true" width="14.0"/>
    <col min="10" max="14" customWidth="true" width="24.85546875"/>
  </cols>
  <sheetData>
    <row r="2" spans="2:12" x14ac:dyDescent="0.2">
      <c r="B2" s="581"/>
      <c r="C2" s="581"/>
      <c r="D2" s="581"/>
      <c r="E2" s="581"/>
      <c r="F2" s="581"/>
      <c r="G2" s="581"/>
      <c r="H2" s="581"/>
      <c r="I2" s="581"/>
      <c r="J2" s="581"/>
      <c r="K2" s="581"/>
      <c r="L2" s="581"/>
    </row>
    <row r="3" spans="2:12" ht="13.5" thickBot="1" x14ac:dyDescent="0.25">
      <c r="B3" s="581"/>
      <c r="C3" s="74"/>
      <c r="D3" s="582">
        <v>1</v>
      </c>
      <c r="E3" s="582">
        <v>2</v>
      </c>
      <c r="F3" s="582">
        <v>3</v>
      </c>
      <c r="G3" s="582">
        <v>4</v>
      </c>
      <c r="H3" s="582">
        <v>5</v>
      </c>
      <c r="I3" s="582">
        <v>6</v>
      </c>
      <c r="J3" s="582">
        <v>7</v>
      </c>
      <c r="K3" s="582">
        <v>8</v>
      </c>
      <c r="L3" s="582">
        <v>9</v>
      </c>
    </row>
    <row r="4" spans="2:12" x14ac:dyDescent="0.2">
      <c r="B4" s="581"/>
      <c r="C4" s="74"/>
      <c r="D4" s="583" t="s">
        <v>261</v>
      </c>
      <c r="E4" s="675" t="s">
        <v>388</v>
      </c>
      <c r="F4" s="676"/>
      <c r="G4" s="677"/>
      <c r="H4" s="1128" t="s">
        <v>331</v>
      </c>
      <c r="I4" s="1129"/>
      <c r="J4" s="1130"/>
      <c r="K4" s="1128" t="s">
        <v>332</v>
      </c>
      <c r="L4" s="1130"/>
    </row>
    <row r="5" spans="2:12" ht="115.5" thickBot="1" x14ac:dyDescent="0.25">
      <c r="B5" s="581"/>
      <c r="C5" s="818"/>
      <c r="D5" s="819"/>
      <c r="E5" s="671" t="s">
        <v>333</v>
      </c>
      <c r="F5" s="820" t="s">
        <v>192</v>
      </c>
      <c r="G5" s="821"/>
      <c r="H5" s="671" t="s">
        <v>334</v>
      </c>
      <c r="I5" s="671" t="s">
        <v>335</v>
      </c>
      <c r="J5" s="672" t="s">
        <v>336</v>
      </c>
      <c r="K5" s="673" t="s">
        <v>337</v>
      </c>
      <c r="L5" s="672" t="s">
        <v>338</v>
      </c>
    </row>
    <row r="6" spans="2:12" x14ac:dyDescent="0.2">
      <c r="B6" s="581"/>
      <c r="C6" s="816" t="s">
        <v>365</v>
      </c>
      <c r="D6" s="678">
        <v>2001</v>
      </c>
      <c r="E6" s="761">
        <v>80.099999999999994</v>
      </c>
      <c r="F6" s="793">
        <f t="shared" ref="F6" si="0">E6/E$6</f>
        <v>1</v>
      </c>
      <c r="G6" s="796"/>
      <c r="H6" s="797">
        <v>230</v>
      </c>
      <c r="I6" s="697">
        <v>275</v>
      </c>
      <c r="J6" s="698">
        <v>30</v>
      </c>
      <c r="K6" s="696">
        <v>9</v>
      </c>
      <c r="L6" s="698">
        <v>68</v>
      </c>
    </row>
    <row r="7" spans="2:12" s="775" customFormat="1" x14ac:dyDescent="0.2">
      <c r="B7" s="769"/>
      <c r="C7" s="817" t="s">
        <v>366</v>
      </c>
      <c r="D7" s="770">
        <f t="shared" ref="D7:D18" si="1">D8-1</f>
        <v>2002</v>
      </c>
      <c r="E7" s="771">
        <v>81.599999999999994</v>
      </c>
      <c r="F7" s="822">
        <f t="shared" ref="F7:F19" si="2">E7/E$7</f>
        <v>1</v>
      </c>
      <c r="G7" s="798"/>
      <c r="H7" s="799">
        <f t="shared" ref="H7:H32" si="3">ROUND($H$6*F7,0)</f>
        <v>230</v>
      </c>
      <c r="I7" s="772">
        <f t="shared" ref="I7:I32" si="4">ROUND($I$6*F7,0)</f>
        <v>275</v>
      </c>
      <c r="J7" s="773">
        <f t="shared" ref="J7:J32" si="5">ROUND($J$6*F7,0)</f>
        <v>30</v>
      </c>
      <c r="K7" s="774">
        <f t="shared" ref="K7:K32" si="6">ROUND($K$6*F7,1)</f>
        <v>9</v>
      </c>
      <c r="L7" s="773">
        <f t="shared" ref="L7:L32" si="7">ROUND($L$6*F7,0)</f>
        <v>68</v>
      </c>
    </row>
    <row r="8" spans="2:12" s="775" customFormat="1" x14ac:dyDescent="0.2">
      <c r="B8" s="769"/>
      <c r="C8" s="817" t="s">
        <v>367</v>
      </c>
      <c r="D8" s="770">
        <f t="shared" si="1"/>
        <v>2003</v>
      </c>
      <c r="E8" s="771">
        <v>82.6</v>
      </c>
      <c r="F8" s="822">
        <f t="shared" si="2"/>
        <v>1.0122549019607843</v>
      </c>
      <c r="G8" s="798"/>
      <c r="H8" s="799">
        <f t="shared" si="3"/>
        <v>233</v>
      </c>
      <c r="I8" s="772">
        <f t="shared" si="4"/>
        <v>278</v>
      </c>
      <c r="J8" s="773">
        <f t="shared" si="5"/>
        <v>30</v>
      </c>
      <c r="K8" s="774">
        <f t="shared" si="6"/>
        <v>9.1</v>
      </c>
      <c r="L8" s="773">
        <f t="shared" si="7"/>
        <v>69</v>
      </c>
    </row>
    <row r="9" spans="2:12" s="775" customFormat="1" x14ac:dyDescent="0.2">
      <c r="B9" s="769"/>
      <c r="C9" s="817" t="s">
        <v>368</v>
      </c>
      <c r="D9" s="770">
        <f t="shared" si="1"/>
        <v>2004</v>
      </c>
      <c r="E9" s="771">
        <v>83.6</v>
      </c>
      <c r="F9" s="822">
        <f>E9/E$7</f>
        <v>1.0245098039215685</v>
      </c>
      <c r="G9" s="798"/>
      <c r="H9" s="799">
        <f t="shared" si="3"/>
        <v>236</v>
      </c>
      <c r="I9" s="772">
        <f t="shared" si="4"/>
        <v>282</v>
      </c>
      <c r="J9" s="773">
        <f t="shared" si="5"/>
        <v>31</v>
      </c>
      <c r="K9" s="774">
        <f t="shared" si="6"/>
        <v>9.1999999999999993</v>
      </c>
      <c r="L9" s="773">
        <f t="shared" si="7"/>
        <v>70</v>
      </c>
    </row>
    <row r="10" spans="2:12" s="775" customFormat="1" x14ac:dyDescent="0.2">
      <c r="B10" s="769"/>
      <c r="C10" s="817" t="s">
        <v>369</v>
      </c>
      <c r="D10" s="770">
        <f t="shared" si="1"/>
        <v>2005</v>
      </c>
      <c r="E10" s="771">
        <v>85.1</v>
      </c>
      <c r="F10" s="822">
        <f t="shared" si="2"/>
        <v>1.0428921568627452</v>
      </c>
      <c r="G10" s="798"/>
      <c r="H10" s="799">
        <f t="shared" si="3"/>
        <v>240</v>
      </c>
      <c r="I10" s="772">
        <f t="shared" si="4"/>
        <v>287</v>
      </c>
      <c r="J10" s="773">
        <f t="shared" si="5"/>
        <v>31</v>
      </c>
      <c r="K10" s="774">
        <f t="shared" si="6"/>
        <v>9.4</v>
      </c>
      <c r="L10" s="773">
        <f t="shared" si="7"/>
        <v>71</v>
      </c>
    </row>
    <row r="11" spans="2:12" s="775" customFormat="1" x14ac:dyDescent="0.2">
      <c r="B11" s="769"/>
      <c r="C11" s="817" t="s">
        <v>370</v>
      </c>
      <c r="D11" s="770">
        <f t="shared" si="1"/>
        <v>2006</v>
      </c>
      <c r="E11" s="771">
        <v>86.7</v>
      </c>
      <c r="F11" s="822">
        <f t="shared" si="2"/>
        <v>1.0625</v>
      </c>
      <c r="G11" s="798"/>
      <c r="H11" s="799">
        <f t="shared" si="3"/>
        <v>244</v>
      </c>
      <c r="I11" s="772">
        <f t="shared" si="4"/>
        <v>292</v>
      </c>
      <c r="J11" s="773">
        <f t="shared" si="5"/>
        <v>32</v>
      </c>
      <c r="K11" s="774">
        <f t="shared" si="6"/>
        <v>9.6</v>
      </c>
      <c r="L11" s="773">
        <f t="shared" si="7"/>
        <v>72</v>
      </c>
    </row>
    <row r="12" spans="2:12" s="775" customFormat="1" x14ac:dyDescent="0.2">
      <c r="B12" s="769"/>
      <c r="C12" s="817" t="s">
        <v>371</v>
      </c>
      <c r="D12" s="770">
        <f t="shared" si="1"/>
        <v>2007</v>
      </c>
      <c r="E12" s="771">
        <v>87.6</v>
      </c>
      <c r="F12" s="822">
        <f t="shared" si="2"/>
        <v>1.0735294117647058</v>
      </c>
      <c r="G12" s="798"/>
      <c r="H12" s="799">
        <f t="shared" si="3"/>
        <v>247</v>
      </c>
      <c r="I12" s="772">
        <f t="shared" si="4"/>
        <v>295</v>
      </c>
      <c r="J12" s="773">
        <f t="shared" si="5"/>
        <v>32</v>
      </c>
      <c r="K12" s="774">
        <f t="shared" si="6"/>
        <v>9.6999999999999993</v>
      </c>
      <c r="L12" s="773">
        <f t="shared" si="7"/>
        <v>73</v>
      </c>
    </row>
    <row r="13" spans="2:12" s="775" customFormat="1" x14ac:dyDescent="0.2">
      <c r="B13" s="769"/>
      <c r="C13" s="817" t="s">
        <v>372</v>
      </c>
      <c r="D13" s="770">
        <f t="shared" si="1"/>
        <v>2008</v>
      </c>
      <c r="E13" s="771">
        <v>90.1</v>
      </c>
      <c r="F13" s="822">
        <f t="shared" si="2"/>
        <v>1.1041666666666667</v>
      </c>
      <c r="G13" s="798"/>
      <c r="H13" s="799">
        <f t="shared" si="3"/>
        <v>254</v>
      </c>
      <c r="I13" s="772">
        <f t="shared" si="4"/>
        <v>304</v>
      </c>
      <c r="J13" s="773">
        <f t="shared" si="5"/>
        <v>33</v>
      </c>
      <c r="K13" s="774">
        <f t="shared" si="6"/>
        <v>9.9</v>
      </c>
      <c r="L13" s="773">
        <f t="shared" si="7"/>
        <v>75</v>
      </c>
    </row>
    <row r="14" spans="2:12" s="775" customFormat="1" x14ac:dyDescent="0.2">
      <c r="B14" s="769"/>
      <c r="C14" s="817" t="s">
        <v>373</v>
      </c>
      <c r="D14" s="770">
        <f t="shared" si="1"/>
        <v>2009</v>
      </c>
      <c r="E14" s="771">
        <v>92.2</v>
      </c>
      <c r="F14" s="822">
        <f t="shared" si="2"/>
        <v>1.1299019607843139</v>
      </c>
      <c r="G14" s="798"/>
      <c r="H14" s="799">
        <f t="shared" si="3"/>
        <v>260</v>
      </c>
      <c r="I14" s="772">
        <f t="shared" si="4"/>
        <v>311</v>
      </c>
      <c r="J14" s="773">
        <f t="shared" si="5"/>
        <v>34</v>
      </c>
      <c r="K14" s="774">
        <f t="shared" si="6"/>
        <v>10.199999999999999</v>
      </c>
      <c r="L14" s="773">
        <f t="shared" si="7"/>
        <v>77</v>
      </c>
    </row>
    <row r="15" spans="2:12" s="775" customFormat="1" x14ac:dyDescent="0.2">
      <c r="B15" s="769"/>
      <c r="C15" s="817" t="s">
        <v>374</v>
      </c>
      <c r="D15" s="770">
        <f t="shared" si="1"/>
        <v>2010</v>
      </c>
      <c r="E15" s="771">
        <v>92.3</v>
      </c>
      <c r="F15" s="822">
        <f t="shared" si="2"/>
        <v>1.1311274509803921</v>
      </c>
      <c r="G15" s="798"/>
      <c r="H15" s="799">
        <f t="shared" si="3"/>
        <v>260</v>
      </c>
      <c r="I15" s="772">
        <f t="shared" si="4"/>
        <v>311</v>
      </c>
      <c r="J15" s="773">
        <f t="shared" si="5"/>
        <v>34</v>
      </c>
      <c r="K15" s="774">
        <f t="shared" si="6"/>
        <v>10.199999999999999</v>
      </c>
      <c r="L15" s="773">
        <f t="shared" si="7"/>
        <v>77</v>
      </c>
    </row>
    <row r="16" spans="2:12" s="775" customFormat="1" x14ac:dyDescent="0.2">
      <c r="B16" s="769"/>
      <c r="C16" s="817" t="s">
        <v>375</v>
      </c>
      <c r="D16" s="770">
        <f t="shared" si="1"/>
        <v>2011</v>
      </c>
      <c r="E16" s="771">
        <v>93.4</v>
      </c>
      <c r="F16" s="822">
        <f t="shared" si="2"/>
        <v>1.1446078431372551</v>
      </c>
      <c r="G16" s="798"/>
      <c r="H16" s="799">
        <f t="shared" si="3"/>
        <v>263</v>
      </c>
      <c r="I16" s="772">
        <f t="shared" si="4"/>
        <v>315</v>
      </c>
      <c r="J16" s="773">
        <f t="shared" si="5"/>
        <v>34</v>
      </c>
      <c r="K16" s="774">
        <f t="shared" si="6"/>
        <v>10.3</v>
      </c>
      <c r="L16" s="773">
        <f t="shared" si="7"/>
        <v>78</v>
      </c>
    </row>
    <row r="17" spans="2:12" s="775" customFormat="1" x14ac:dyDescent="0.2">
      <c r="B17" s="769"/>
      <c r="C17" s="817" t="s">
        <v>376</v>
      </c>
      <c r="D17" s="770">
        <f t="shared" si="1"/>
        <v>2012</v>
      </c>
      <c r="E17" s="771">
        <v>95.6</v>
      </c>
      <c r="F17" s="822">
        <f t="shared" si="2"/>
        <v>1.1715686274509804</v>
      </c>
      <c r="G17" s="798"/>
      <c r="H17" s="799">
        <f t="shared" si="3"/>
        <v>269</v>
      </c>
      <c r="I17" s="772">
        <f t="shared" si="4"/>
        <v>322</v>
      </c>
      <c r="J17" s="773">
        <f t="shared" si="5"/>
        <v>35</v>
      </c>
      <c r="K17" s="774">
        <f t="shared" si="6"/>
        <v>10.5</v>
      </c>
      <c r="L17" s="773">
        <f t="shared" si="7"/>
        <v>80</v>
      </c>
    </row>
    <row r="18" spans="2:12" s="775" customFormat="1" x14ac:dyDescent="0.2">
      <c r="B18" s="769"/>
      <c r="C18" s="817" t="s">
        <v>377</v>
      </c>
      <c r="D18" s="770">
        <f t="shared" si="1"/>
        <v>2013</v>
      </c>
      <c r="E18" s="771">
        <v>97.5</v>
      </c>
      <c r="F18" s="822">
        <f t="shared" si="2"/>
        <v>1.1948529411764706</v>
      </c>
      <c r="G18" s="798"/>
      <c r="H18" s="799">
        <f t="shared" si="3"/>
        <v>275</v>
      </c>
      <c r="I18" s="772">
        <f t="shared" si="4"/>
        <v>329</v>
      </c>
      <c r="J18" s="773">
        <f t="shared" si="5"/>
        <v>36</v>
      </c>
      <c r="K18" s="774">
        <f t="shared" si="6"/>
        <v>10.8</v>
      </c>
      <c r="L18" s="773">
        <f t="shared" si="7"/>
        <v>81</v>
      </c>
    </row>
    <row r="19" spans="2:12" s="775" customFormat="1" x14ac:dyDescent="0.2">
      <c r="B19" s="769"/>
      <c r="C19" s="817" t="s">
        <v>378</v>
      </c>
      <c r="D19" s="770">
        <f>D20-1</f>
        <v>2014</v>
      </c>
      <c r="E19" s="771">
        <v>98.7</v>
      </c>
      <c r="F19" s="822">
        <f t="shared" si="2"/>
        <v>1.2095588235294119</v>
      </c>
      <c r="G19" s="798"/>
      <c r="H19" s="799">
        <f t="shared" si="3"/>
        <v>278</v>
      </c>
      <c r="I19" s="772">
        <f t="shared" si="4"/>
        <v>333</v>
      </c>
      <c r="J19" s="773">
        <f t="shared" si="5"/>
        <v>36</v>
      </c>
      <c r="K19" s="774">
        <f t="shared" si="6"/>
        <v>10.9</v>
      </c>
      <c r="L19" s="773">
        <f t="shared" si="7"/>
        <v>82</v>
      </c>
    </row>
    <row r="20" spans="2:12" x14ac:dyDescent="0.2">
      <c r="B20" s="581"/>
      <c r="C20" s="817" t="s">
        <v>379</v>
      </c>
      <c r="D20" s="762">
        <v>2015</v>
      </c>
      <c r="E20" s="794">
        <v>99.5</v>
      </c>
      <c r="F20" s="823">
        <f>E20/E$7</f>
        <v>1.2193627450980393</v>
      </c>
      <c r="G20" s="798"/>
      <c r="H20" s="800">
        <f t="shared" si="3"/>
        <v>280</v>
      </c>
      <c r="I20" s="758">
        <f t="shared" si="4"/>
        <v>335</v>
      </c>
      <c r="J20" s="759">
        <f t="shared" si="5"/>
        <v>37</v>
      </c>
      <c r="K20" s="760">
        <f t="shared" si="6"/>
        <v>11</v>
      </c>
      <c r="L20" s="759">
        <f t="shared" si="7"/>
        <v>83</v>
      </c>
    </row>
    <row r="21" spans="2:12" x14ac:dyDescent="0.2">
      <c r="B21" s="581"/>
      <c r="C21" s="817" t="s">
        <v>380</v>
      </c>
      <c r="D21" s="762">
        <v>2016</v>
      </c>
      <c r="E21" s="794">
        <v>100.4</v>
      </c>
      <c r="F21" s="823">
        <f t="shared" ref="F21:F28" si="8">E21/E$7</f>
        <v>1.2303921568627452</v>
      </c>
      <c r="G21" s="798"/>
      <c r="H21" s="800">
        <f t="shared" si="3"/>
        <v>283</v>
      </c>
      <c r="I21" s="758">
        <f t="shared" si="4"/>
        <v>338</v>
      </c>
      <c r="J21" s="759">
        <f t="shared" si="5"/>
        <v>37</v>
      </c>
      <c r="K21" s="760">
        <f t="shared" si="6"/>
        <v>11.1</v>
      </c>
      <c r="L21" s="759">
        <f t="shared" si="7"/>
        <v>84</v>
      </c>
    </row>
    <row r="22" spans="2:12" x14ac:dyDescent="0.2">
      <c r="B22" s="581"/>
      <c r="C22" s="817" t="s">
        <v>381</v>
      </c>
      <c r="D22" s="762">
        <v>2017</v>
      </c>
      <c r="E22" s="794">
        <v>101.2</v>
      </c>
      <c r="F22" s="823">
        <f t="shared" si="8"/>
        <v>1.2401960784313726</v>
      </c>
      <c r="G22" s="798"/>
      <c r="H22" s="800">
        <f t="shared" si="3"/>
        <v>285</v>
      </c>
      <c r="I22" s="758">
        <f t="shared" si="4"/>
        <v>341</v>
      </c>
      <c r="J22" s="759">
        <f t="shared" si="5"/>
        <v>37</v>
      </c>
      <c r="K22" s="760">
        <f t="shared" si="6"/>
        <v>11.2</v>
      </c>
      <c r="L22" s="759">
        <f t="shared" si="7"/>
        <v>84</v>
      </c>
    </row>
    <row r="23" spans="2:12" x14ac:dyDescent="0.2">
      <c r="B23" s="581"/>
      <c r="C23" s="817" t="s">
        <v>382</v>
      </c>
      <c r="D23" s="762">
        <v>2018</v>
      </c>
      <c r="E23" s="794">
        <v>102.5</v>
      </c>
      <c r="F23" s="823">
        <f t="shared" si="8"/>
        <v>1.2561274509803921</v>
      </c>
      <c r="G23" s="798"/>
      <c r="H23" s="800">
        <f t="shared" si="3"/>
        <v>289</v>
      </c>
      <c r="I23" s="758">
        <f t="shared" si="4"/>
        <v>345</v>
      </c>
      <c r="J23" s="759">
        <f t="shared" si="5"/>
        <v>38</v>
      </c>
      <c r="K23" s="760">
        <f t="shared" si="6"/>
        <v>11.3</v>
      </c>
      <c r="L23" s="759">
        <f t="shared" si="7"/>
        <v>85</v>
      </c>
    </row>
    <row r="24" spans="2:12" x14ac:dyDescent="0.2">
      <c r="B24" s="581"/>
      <c r="C24" s="817" t="s">
        <v>383</v>
      </c>
      <c r="D24" s="762">
        <v>2019</v>
      </c>
      <c r="E24" s="794">
        <v>104.9</v>
      </c>
      <c r="F24" s="823">
        <f t="shared" si="8"/>
        <v>1.2855392156862746</v>
      </c>
      <c r="G24" s="798"/>
      <c r="H24" s="800">
        <f t="shared" si="3"/>
        <v>296</v>
      </c>
      <c r="I24" s="758">
        <f t="shared" si="4"/>
        <v>354</v>
      </c>
      <c r="J24" s="759">
        <f t="shared" si="5"/>
        <v>39</v>
      </c>
      <c r="K24" s="760">
        <f t="shared" si="6"/>
        <v>11.6</v>
      </c>
      <c r="L24" s="759">
        <f t="shared" si="7"/>
        <v>87</v>
      </c>
    </row>
    <row r="25" spans="2:12" x14ac:dyDescent="0.2">
      <c r="B25" s="581"/>
      <c r="C25" s="817" t="s">
        <v>384</v>
      </c>
      <c r="D25" s="762">
        <v>2020</v>
      </c>
      <c r="E25" s="794">
        <v>106.1</v>
      </c>
      <c r="F25" s="823">
        <f t="shared" si="8"/>
        <v>1.3002450980392157</v>
      </c>
      <c r="G25" s="798"/>
      <c r="H25" s="800">
        <f t="shared" si="3"/>
        <v>299</v>
      </c>
      <c r="I25" s="758">
        <f t="shared" si="4"/>
        <v>358</v>
      </c>
      <c r="J25" s="759">
        <f t="shared" si="5"/>
        <v>39</v>
      </c>
      <c r="K25" s="760">
        <f t="shared" si="6"/>
        <v>11.7</v>
      </c>
      <c r="L25" s="759">
        <f t="shared" si="7"/>
        <v>88</v>
      </c>
    </row>
    <row r="26" spans="2:12" x14ac:dyDescent="0.2">
      <c r="B26" s="581"/>
      <c r="C26" s="817" t="s">
        <v>385</v>
      </c>
      <c r="D26" s="762">
        <v>2021</v>
      </c>
      <c r="E26" s="794">
        <v>105.9</v>
      </c>
      <c r="F26" s="823">
        <f t="shared" si="8"/>
        <v>1.2977941176470589</v>
      </c>
      <c r="G26" s="798"/>
      <c r="H26" s="800">
        <f t="shared" si="3"/>
        <v>298</v>
      </c>
      <c r="I26" s="758">
        <f t="shared" si="4"/>
        <v>357</v>
      </c>
      <c r="J26" s="759">
        <f t="shared" si="5"/>
        <v>39</v>
      </c>
      <c r="K26" s="760">
        <f t="shared" si="6"/>
        <v>11.7</v>
      </c>
      <c r="L26" s="759">
        <f t="shared" si="7"/>
        <v>88</v>
      </c>
    </row>
    <row r="27" spans="2:12" x14ac:dyDescent="0.2">
      <c r="B27" s="581"/>
      <c r="C27" s="817" t="s">
        <v>386</v>
      </c>
      <c r="D27" s="763">
        <v>2022</v>
      </c>
      <c r="E27" s="795">
        <v>110.7</v>
      </c>
      <c r="F27" s="823">
        <f>E27/E$7</f>
        <v>1.3566176470588236</v>
      </c>
      <c r="G27" s="801"/>
      <c r="H27" s="802">
        <f t="shared" si="3"/>
        <v>312</v>
      </c>
      <c r="I27" s="764">
        <f t="shared" si="4"/>
        <v>373</v>
      </c>
      <c r="J27" s="765">
        <f t="shared" si="5"/>
        <v>41</v>
      </c>
      <c r="K27" s="766">
        <f t="shared" si="6"/>
        <v>12.2</v>
      </c>
      <c r="L27" s="765">
        <f t="shared" si="7"/>
        <v>92</v>
      </c>
    </row>
    <row r="28" spans="2:12" x14ac:dyDescent="0.2">
      <c r="B28" s="581"/>
      <c r="C28" s="817" t="s">
        <v>387</v>
      </c>
      <c r="D28" s="763">
        <v>2023</v>
      </c>
      <c r="E28" s="795">
        <v>122.2</v>
      </c>
      <c r="F28" s="823">
        <f t="shared" si="8"/>
        <v>1.4975490196078434</v>
      </c>
      <c r="G28" s="801"/>
      <c r="H28" s="802">
        <f t="shared" si="3"/>
        <v>344</v>
      </c>
      <c r="I28" s="764">
        <f t="shared" si="4"/>
        <v>412</v>
      </c>
      <c r="J28" s="765">
        <f t="shared" si="5"/>
        <v>45</v>
      </c>
      <c r="K28" s="766">
        <f t="shared" si="6"/>
        <v>13.5</v>
      </c>
      <c r="L28" s="765">
        <f t="shared" si="7"/>
        <v>102</v>
      </c>
    </row>
    <row r="29" spans="2:12" x14ac:dyDescent="0.2">
      <c r="B29" s="581"/>
      <c r="C29" s="817" t="s">
        <v>398</v>
      </c>
      <c r="D29" s="763">
        <v>2024</v>
      </c>
      <c r="E29" s="795">
        <v>117.8</v>
      </c>
      <c r="F29" s="823">
        <f>E29/77.1</f>
        <v>1.5278858625162128</v>
      </c>
      <c r="G29" s="801"/>
      <c r="H29" s="802">
        <f t="shared" si="3"/>
        <v>351</v>
      </c>
      <c r="I29" s="764">
        <f t="shared" si="4"/>
        <v>420</v>
      </c>
      <c r="J29" s="765">
        <f t="shared" si="5"/>
        <v>46</v>
      </c>
      <c r="K29" s="766">
        <f t="shared" si="6"/>
        <v>13.8</v>
      </c>
      <c r="L29" s="765">
        <f t="shared" si="7"/>
        <v>104</v>
      </c>
    </row>
    <row r="30" spans="2:12" x14ac:dyDescent="0.2">
      <c r="B30" s="581"/>
      <c r="C30" s="817" t="s">
        <v>399</v>
      </c>
      <c r="D30" s="763">
        <v>2025</v>
      </c>
      <c r="E30" s="795">
        <v>120.2</v>
      </c>
      <c r="F30" s="823">
        <f t="shared" ref="F30:F32" si="9">E30/77.1</f>
        <v>1.5590142671854736</v>
      </c>
      <c r="G30" s="801"/>
      <c r="H30" s="802">
        <f t="shared" si="3"/>
        <v>359</v>
      </c>
      <c r="I30" s="764">
        <f t="shared" si="4"/>
        <v>429</v>
      </c>
      <c r="J30" s="765">
        <f t="shared" si="5"/>
        <v>47</v>
      </c>
      <c r="K30" s="766">
        <f t="shared" si="6"/>
        <v>14</v>
      </c>
      <c r="L30" s="765">
        <f t="shared" si="7"/>
        <v>106</v>
      </c>
    </row>
    <row r="31" spans="2:12" s="768" customFormat="1" x14ac:dyDescent="0.2">
      <c r="B31" s="767"/>
      <c r="C31" s="803" t="s">
        <v>398</v>
      </c>
      <c r="D31" s="803">
        <v>2026</v>
      </c>
      <c r="E31" s="804">
        <v>120.2</v>
      </c>
      <c r="F31" s="824">
        <f t="shared" si="9"/>
        <v>1.5590142671854736</v>
      </c>
      <c r="G31" s="805"/>
      <c r="H31" s="806">
        <f t="shared" si="3"/>
        <v>359</v>
      </c>
      <c r="I31" s="807">
        <f t="shared" si="4"/>
        <v>429</v>
      </c>
      <c r="J31" s="808">
        <f t="shared" si="5"/>
        <v>47</v>
      </c>
      <c r="K31" s="809">
        <f t="shared" si="6"/>
        <v>14</v>
      </c>
      <c r="L31" s="808">
        <f t="shared" si="7"/>
        <v>106</v>
      </c>
    </row>
    <row r="32" spans="2:12" s="768" customFormat="1" ht="13.5" thickBot="1" x14ac:dyDescent="0.25">
      <c r="B32" s="767"/>
      <c r="C32" s="803" t="s">
        <v>398</v>
      </c>
      <c r="D32" s="810">
        <v>2027</v>
      </c>
      <c r="E32" s="804">
        <v>120.2</v>
      </c>
      <c r="F32" s="824">
        <f t="shared" si="9"/>
        <v>1.5590142671854736</v>
      </c>
      <c r="G32" s="811"/>
      <c r="H32" s="812">
        <f t="shared" si="3"/>
        <v>359</v>
      </c>
      <c r="I32" s="813">
        <f t="shared" si="4"/>
        <v>429</v>
      </c>
      <c r="J32" s="814">
        <f t="shared" si="5"/>
        <v>47</v>
      </c>
      <c r="K32" s="815">
        <f t="shared" si="6"/>
        <v>14</v>
      </c>
      <c r="L32" s="814">
        <f t="shared" si="7"/>
        <v>106</v>
      </c>
    </row>
    <row r="33" spans="2:12" s="896" customFormat="1" x14ac:dyDescent="0.2">
      <c r="B33" s="897"/>
      <c r="C33" s="898"/>
      <c r="D33" s="1131" t="s">
        <v>364</v>
      </c>
      <c r="E33" s="1132"/>
      <c r="F33" s="899"/>
      <c r="G33" s="900"/>
      <c r="H33" s="901"/>
      <c r="I33" s="902"/>
      <c r="J33" s="903"/>
      <c r="K33" s="902"/>
      <c r="L33" s="902"/>
    </row>
    <row r="34" spans="2:12" s="896" customFormat="1" x14ac:dyDescent="0.2">
      <c r="B34" s="897"/>
      <c r="C34" s="898"/>
      <c r="D34" s="1133"/>
      <c r="E34" s="1134"/>
      <c r="F34" s="899"/>
      <c r="G34" s="900"/>
      <c r="H34" s="901"/>
      <c r="I34" s="902"/>
      <c r="J34" s="903"/>
      <c r="K34" s="902"/>
      <c r="L34" s="902"/>
    </row>
    <row r="35" spans="2:12" s="896" customFormat="1" x14ac:dyDescent="0.2">
      <c r="B35" s="897"/>
      <c r="C35" s="898"/>
      <c r="D35" s="1133"/>
      <c r="E35" s="1134"/>
      <c r="F35" s="899"/>
      <c r="G35" s="900"/>
      <c r="H35" s="901"/>
      <c r="I35" s="902"/>
      <c r="J35" s="903"/>
      <c r="K35" s="902"/>
      <c r="L35" s="902"/>
    </row>
    <row r="36" spans="2:12" s="896" customFormat="1" ht="13.5" thickBot="1" x14ac:dyDescent="0.25">
      <c r="B36" s="897"/>
      <c r="C36" s="898"/>
      <c r="D36" s="1135"/>
      <c r="E36" s="1136"/>
      <c r="F36" s="899"/>
      <c r="G36" s="900"/>
      <c r="H36" s="901"/>
      <c r="I36" s="902"/>
      <c r="J36" s="903"/>
      <c r="K36" s="902"/>
      <c r="L36" s="902"/>
    </row>
    <row r="37" spans="2:12" s="896" customFormat="1" x14ac:dyDescent="0.2">
      <c r="B37" s="897"/>
      <c r="C37" s="904"/>
      <c r="D37" s="905" t="s">
        <v>261</v>
      </c>
      <c r="E37" s="906" t="s">
        <v>388</v>
      </c>
      <c r="F37" s="907"/>
      <c r="G37" s="908"/>
      <c r="H37" s="1137" t="s">
        <v>331</v>
      </c>
      <c r="I37" s="1138"/>
      <c r="J37" s="1139"/>
      <c r="K37" s="1137" t="s">
        <v>332</v>
      </c>
      <c r="L37" s="1139"/>
    </row>
    <row r="38" spans="2:12" s="896" customFormat="1" ht="115.5" thickBot="1" x14ac:dyDescent="0.25">
      <c r="B38" s="897"/>
      <c r="C38" s="909"/>
      <c r="D38" s="910"/>
      <c r="E38" s="911" t="s">
        <v>333</v>
      </c>
      <c r="F38" s="912" t="s">
        <v>192</v>
      </c>
      <c r="G38" s="913" t="s">
        <v>389</v>
      </c>
      <c r="H38" s="911" t="s">
        <v>334</v>
      </c>
      <c r="I38" s="911" t="s">
        <v>335</v>
      </c>
      <c r="J38" s="914" t="s">
        <v>336</v>
      </c>
      <c r="K38" s="915" t="s">
        <v>337</v>
      </c>
      <c r="L38" s="914" t="s">
        <v>338</v>
      </c>
    </row>
    <row r="39" spans="2:12" s="896" customFormat="1" x14ac:dyDescent="0.2">
      <c r="B39" s="897"/>
      <c r="C39" s="916" t="s">
        <v>365</v>
      </c>
      <c r="D39" s="917">
        <v>2001</v>
      </c>
      <c r="E39" s="918">
        <v>75.7</v>
      </c>
      <c r="F39" s="919">
        <f t="shared" ref="F39" si="10">E39/E$39</f>
        <v>1</v>
      </c>
      <c r="G39" s="920"/>
      <c r="H39" s="921">
        <v>230</v>
      </c>
      <c r="I39" s="922">
        <v>275</v>
      </c>
      <c r="J39" s="923">
        <v>30</v>
      </c>
      <c r="K39" s="924">
        <v>9</v>
      </c>
      <c r="L39" s="923">
        <v>68</v>
      </c>
    </row>
    <row r="40" spans="2:12" s="896" customFormat="1" x14ac:dyDescent="0.2">
      <c r="B40" s="897"/>
      <c r="C40" s="925" t="s">
        <v>366</v>
      </c>
      <c r="D40" s="926">
        <f t="shared" ref="D40:D51" si="11">D41-1</f>
        <v>2002</v>
      </c>
      <c r="E40" s="927">
        <v>77.099999999999994</v>
      </c>
      <c r="F40" s="928">
        <f>E40/E$40</f>
        <v>1</v>
      </c>
      <c r="G40" s="929">
        <f>F7-F40</f>
        <v>0</v>
      </c>
      <c r="H40" s="930">
        <f>ROUND($H$39*F40,0)</f>
        <v>230</v>
      </c>
      <c r="I40" s="930">
        <f t="shared" ref="I40:I52" si="12">ROUND($I$39*F40,0)</f>
        <v>275</v>
      </c>
      <c r="J40" s="930">
        <f t="shared" ref="J40:J52" si="13">ROUND($J$39*F40,0)</f>
        <v>30</v>
      </c>
      <c r="K40" s="931">
        <f t="shared" ref="K40:K52" si="14">ROUND($K$39*F40,1)</f>
        <v>9</v>
      </c>
      <c r="L40" s="930">
        <f t="shared" ref="L40:L52" si="15">ROUND($L$39*F40,0)</f>
        <v>68</v>
      </c>
    </row>
    <row r="41" spans="2:12" s="896" customFormat="1" x14ac:dyDescent="0.2">
      <c r="B41" s="897"/>
      <c r="C41" s="925" t="s">
        <v>367</v>
      </c>
      <c r="D41" s="926">
        <f t="shared" si="11"/>
        <v>2003</v>
      </c>
      <c r="E41" s="927">
        <v>78.099999999999994</v>
      </c>
      <c r="F41" s="928">
        <f t="shared" ref="F41:F60" si="16">E41/E$40</f>
        <v>1.0129701686121919</v>
      </c>
      <c r="G41" s="929">
        <f t="shared" ref="G41:G65" si="17">F8-F41</f>
        <v>-7.1526665140764223E-4</v>
      </c>
      <c r="H41" s="930">
        <f t="shared" ref="H41:H52" si="18">ROUND($H$39*F41,0)</f>
        <v>233</v>
      </c>
      <c r="I41" s="930">
        <f t="shared" si="12"/>
        <v>279</v>
      </c>
      <c r="J41" s="930">
        <f t="shared" si="13"/>
        <v>30</v>
      </c>
      <c r="K41" s="931">
        <f t="shared" si="14"/>
        <v>9.1</v>
      </c>
      <c r="L41" s="930">
        <f t="shared" si="15"/>
        <v>69</v>
      </c>
    </row>
    <row r="42" spans="2:12" s="896" customFormat="1" x14ac:dyDescent="0.2">
      <c r="B42" s="897"/>
      <c r="C42" s="925" t="s">
        <v>368</v>
      </c>
      <c r="D42" s="926">
        <f t="shared" si="11"/>
        <v>2004</v>
      </c>
      <c r="E42" s="927">
        <v>79</v>
      </c>
      <c r="F42" s="928">
        <f t="shared" si="16"/>
        <v>1.0246433203631649</v>
      </c>
      <c r="G42" s="929">
        <f t="shared" si="17"/>
        <v>-1.3351644159631526E-4</v>
      </c>
      <c r="H42" s="930">
        <f t="shared" si="18"/>
        <v>236</v>
      </c>
      <c r="I42" s="930">
        <f t="shared" si="12"/>
        <v>282</v>
      </c>
      <c r="J42" s="930">
        <f t="shared" si="13"/>
        <v>31</v>
      </c>
      <c r="K42" s="931">
        <f t="shared" si="14"/>
        <v>9.1999999999999993</v>
      </c>
      <c r="L42" s="930">
        <f t="shared" si="15"/>
        <v>70</v>
      </c>
    </row>
    <row r="43" spans="2:12" s="896" customFormat="1" x14ac:dyDescent="0.2">
      <c r="B43" s="897"/>
      <c r="C43" s="925" t="s">
        <v>369</v>
      </c>
      <c r="D43" s="926">
        <f t="shared" si="11"/>
        <v>2005</v>
      </c>
      <c r="E43" s="927">
        <v>80.400000000000006</v>
      </c>
      <c r="F43" s="928">
        <f t="shared" si="16"/>
        <v>1.0428015564202335</v>
      </c>
      <c r="G43" s="929">
        <f t="shared" si="17"/>
        <v>9.0600442511634682E-5</v>
      </c>
      <c r="H43" s="930">
        <f t="shared" si="18"/>
        <v>240</v>
      </c>
      <c r="I43" s="930">
        <f t="shared" si="12"/>
        <v>287</v>
      </c>
      <c r="J43" s="930">
        <f t="shared" si="13"/>
        <v>31</v>
      </c>
      <c r="K43" s="931">
        <f t="shared" si="14"/>
        <v>9.4</v>
      </c>
      <c r="L43" s="930">
        <f t="shared" si="15"/>
        <v>71</v>
      </c>
    </row>
    <row r="44" spans="2:12" s="896" customFormat="1" x14ac:dyDescent="0.2">
      <c r="B44" s="897"/>
      <c r="C44" s="925" t="s">
        <v>370</v>
      </c>
      <c r="D44" s="926">
        <f t="shared" si="11"/>
        <v>2006</v>
      </c>
      <c r="E44" s="927">
        <v>81.900000000000006</v>
      </c>
      <c r="F44" s="928">
        <f t="shared" si="16"/>
        <v>1.0622568093385216</v>
      </c>
      <c r="G44" s="929">
        <f t="shared" si="17"/>
        <v>2.4319066147837631E-4</v>
      </c>
      <c r="H44" s="930">
        <f t="shared" si="18"/>
        <v>244</v>
      </c>
      <c r="I44" s="930">
        <f t="shared" si="12"/>
        <v>292</v>
      </c>
      <c r="J44" s="930">
        <f t="shared" si="13"/>
        <v>32</v>
      </c>
      <c r="K44" s="931">
        <f t="shared" si="14"/>
        <v>9.6</v>
      </c>
      <c r="L44" s="930">
        <f t="shared" si="15"/>
        <v>72</v>
      </c>
    </row>
    <row r="45" spans="2:12" s="896" customFormat="1" x14ac:dyDescent="0.2">
      <c r="B45" s="897"/>
      <c r="C45" s="925" t="s">
        <v>371</v>
      </c>
      <c r="D45" s="926">
        <f t="shared" si="11"/>
        <v>2007</v>
      </c>
      <c r="E45" s="927">
        <v>82.8</v>
      </c>
      <c r="F45" s="928">
        <f t="shared" si="16"/>
        <v>1.0739299610894941</v>
      </c>
      <c r="G45" s="929">
        <f t="shared" si="17"/>
        <v>-4.0054932478827965E-4</v>
      </c>
      <c r="H45" s="930">
        <f t="shared" si="18"/>
        <v>247</v>
      </c>
      <c r="I45" s="930">
        <f t="shared" si="12"/>
        <v>295</v>
      </c>
      <c r="J45" s="930">
        <f t="shared" si="13"/>
        <v>32</v>
      </c>
      <c r="K45" s="931">
        <f t="shared" si="14"/>
        <v>9.6999999999999993</v>
      </c>
      <c r="L45" s="930">
        <f t="shared" si="15"/>
        <v>73</v>
      </c>
    </row>
    <row r="46" spans="2:12" s="896" customFormat="1" x14ac:dyDescent="0.2">
      <c r="B46" s="897"/>
      <c r="C46" s="925" t="s">
        <v>372</v>
      </c>
      <c r="D46" s="926">
        <f t="shared" si="11"/>
        <v>2008</v>
      </c>
      <c r="E46" s="927">
        <v>85.1</v>
      </c>
      <c r="F46" s="928">
        <f t="shared" si="16"/>
        <v>1.1037613488975357</v>
      </c>
      <c r="G46" s="929">
        <f t="shared" si="17"/>
        <v>4.0531776913099726E-4</v>
      </c>
      <c r="H46" s="930">
        <f t="shared" si="18"/>
        <v>254</v>
      </c>
      <c r="I46" s="930">
        <f t="shared" si="12"/>
        <v>304</v>
      </c>
      <c r="J46" s="930">
        <f t="shared" si="13"/>
        <v>33</v>
      </c>
      <c r="K46" s="931">
        <f t="shared" si="14"/>
        <v>9.9</v>
      </c>
      <c r="L46" s="930">
        <f t="shared" si="15"/>
        <v>75</v>
      </c>
    </row>
    <row r="47" spans="2:12" s="896" customFormat="1" x14ac:dyDescent="0.2">
      <c r="B47" s="897"/>
      <c r="C47" s="925" t="s">
        <v>373</v>
      </c>
      <c r="D47" s="926">
        <f t="shared" si="11"/>
        <v>2009</v>
      </c>
      <c r="E47" s="927">
        <v>87.2</v>
      </c>
      <c r="F47" s="928">
        <f t="shared" si="16"/>
        <v>1.130998702983139</v>
      </c>
      <c r="G47" s="929">
        <f t="shared" si="17"/>
        <v>-1.0967421988250514E-3</v>
      </c>
      <c r="H47" s="930">
        <f t="shared" si="18"/>
        <v>260</v>
      </c>
      <c r="I47" s="930">
        <f t="shared" si="12"/>
        <v>311</v>
      </c>
      <c r="J47" s="930">
        <f t="shared" si="13"/>
        <v>34</v>
      </c>
      <c r="K47" s="931">
        <f t="shared" si="14"/>
        <v>10.199999999999999</v>
      </c>
      <c r="L47" s="930">
        <f t="shared" si="15"/>
        <v>77</v>
      </c>
    </row>
    <row r="48" spans="2:12" s="896" customFormat="1" x14ac:dyDescent="0.2">
      <c r="B48" s="897"/>
      <c r="C48" s="925" t="s">
        <v>374</v>
      </c>
      <c r="D48" s="926">
        <f t="shared" si="11"/>
        <v>2010</v>
      </c>
      <c r="E48" s="927">
        <v>87.2</v>
      </c>
      <c r="F48" s="928">
        <f t="shared" si="16"/>
        <v>1.130998702983139</v>
      </c>
      <c r="G48" s="929">
        <f t="shared" si="17"/>
        <v>1.2874799725315356E-4</v>
      </c>
      <c r="H48" s="930">
        <f t="shared" si="18"/>
        <v>260</v>
      </c>
      <c r="I48" s="930">
        <f t="shared" si="12"/>
        <v>311</v>
      </c>
      <c r="J48" s="930">
        <f t="shared" si="13"/>
        <v>34</v>
      </c>
      <c r="K48" s="931">
        <f t="shared" si="14"/>
        <v>10.199999999999999</v>
      </c>
      <c r="L48" s="930">
        <f t="shared" si="15"/>
        <v>77</v>
      </c>
    </row>
    <row r="49" spans="2:12" s="896" customFormat="1" x14ac:dyDescent="0.2">
      <c r="B49" s="897"/>
      <c r="C49" s="925" t="s">
        <v>375</v>
      </c>
      <c r="D49" s="926">
        <f t="shared" si="11"/>
        <v>2011</v>
      </c>
      <c r="E49" s="927">
        <v>88.3</v>
      </c>
      <c r="F49" s="928">
        <f t="shared" si="16"/>
        <v>1.1452658884565501</v>
      </c>
      <c r="G49" s="929">
        <f t="shared" si="17"/>
        <v>-6.5804531929503085E-4</v>
      </c>
      <c r="H49" s="930">
        <f t="shared" si="18"/>
        <v>263</v>
      </c>
      <c r="I49" s="930">
        <f t="shared" si="12"/>
        <v>315</v>
      </c>
      <c r="J49" s="930">
        <f t="shared" si="13"/>
        <v>34</v>
      </c>
      <c r="K49" s="931">
        <f t="shared" si="14"/>
        <v>10.3</v>
      </c>
      <c r="L49" s="930">
        <f t="shared" si="15"/>
        <v>78</v>
      </c>
    </row>
    <row r="50" spans="2:12" s="896" customFormat="1" x14ac:dyDescent="0.2">
      <c r="B50" s="897"/>
      <c r="C50" s="925" t="s">
        <v>376</v>
      </c>
      <c r="D50" s="926">
        <f t="shared" si="11"/>
        <v>2012</v>
      </c>
      <c r="E50" s="927">
        <v>90.4</v>
      </c>
      <c r="F50" s="928">
        <f t="shared" si="16"/>
        <v>1.1725032425421531</v>
      </c>
      <c r="G50" s="929">
        <f t="shared" si="17"/>
        <v>-9.3461509117265251E-4</v>
      </c>
      <c r="H50" s="930">
        <f t="shared" si="18"/>
        <v>270</v>
      </c>
      <c r="I50" s="930">
        <f t="shared" si="12"/>
        <v>322</v>
      </c>
      <c r="J50" s="930">
        <f t="shared" si="13"/>
        <v>35</v>
      </c>
      <c r="K50" s="931">
        <f t="shared" si="14"/>
        <v>10.6</v>
      </c>
      <c r="L50" s="930">
        <f t="shared" si="15"/>
        <v>80</v>
      </c>
    </row>
    <row r="51" spans="2:12" s="896" customFormat="1" x14ac:dyDescent="0.2">
      <c r="B51" s="897"/>
      <c r="C51" s="925" t="s">
        <v>377</v>
      </c>
      <c r="D51" s="926">
        <f t="shared" si="11"/>
        <v>2013</v>
      </c>
      <c r="E51" s="927">
        <v>92.2</v>
      </c>
      <c r="F51" s="928">
        <f t="shared" si="16"/>
        <v>1.1958495460440988</v>
      </c>
      <c r="G51" s="929">
        <f t="shared" si="17"/>
        <v>-9.9660486762820355E-4</v>
      </c>
      <c r="H51" s="930">
        <f t="shared" si="18"/>
        <v>275</v>
      </c>
      <c r="I51" s="930">
        <f t="shared" si="12"/>
        <v>329</v>
      </c>
      <c r="J51" s="930">
        <f t="shared" si="13"/>
        <v>36</v>
      </c>
      <c r="K51" s="931">
        <f t="shared" si="14"/>
        <v>10.8</v>
      </c>
      <c r="L51" s="930">
        <f t="shared" si="15"/>
        <v>81</v>
      </c>
    </row>
    <row r="52" spans="2:12" s="896" customFormat="1" x14ac:dyDescent="0.2">
      <c r="B52" s="897"/>
      <c r="C52" s="925" t="s">
        <v>378</v>
      </c>
      <c r="D52" s="926">
        <f>D53-1</f>
        <v>2014</v>
      </c>
      <c r="E52" s="927">
        <v>93.3</v>
      </c>
      <c r="F52" s="928">
        <f t="shared" si="16"/>
        <v>1.2101167315175099</v>
      </c>
      <c r="G52" s="929">
        <f t="shared" si="17"/>
        <v>-5.5790798809796094E-4</v>
      </c>
      <c r="H52" s="930">
        <f t="shared" si="18"/>
        <v>278</v>
      </c>
      <c r="I52" s="930">
        <f t="shared" si="12"/>
        <v>333</v>
      </c>
      <c r="J52" s="930">
        <f t="shared" si="13"/>
        <v>36</v>
      </c>
      <c r="K52" s="931">
        <f t="shared" si="14"/>
        <v>10.9</v>
      </c>
      <c r="L52" s="930">
        <f t="shared" si="15"/>
        <v>82</v>
      </c>
    </row>
    <row r="53" spans="2:12" s="896" customFormat="1" x14ac:dyDescent="0.2">
      <c r="B53" s="897"/>
      <c r="C53" s="925" t="s">
        <v>379</v>
      </c>
      <c r="D53" s="932">
        <v>2015</v>
      </c>
      <c r="E53" s="927">
        <v>94.1</v>
      </c>
      <c r="F53" s="928">
        <f t="shared" si="16"/>
        <v>1.2204928664072634</v>
      </c>
      <c r="G53" s="929">
        <f t="shared" si="17"/>
        <v>-1.1301213092240747E-3</v>
      </c>
      <c r="H53" s="930">
        <f t="shared" ref="H53:H60" si="19">ROUND($H$39*F53,0)</f>
        <v>281</v>
      </c>
      <c r="I53" s="930">
        <f t="shared" ref="I53:I60" si="20">ROUND($I$39*F53,0)</f>
        <v>336</v>
      </c>
      <c r="J53" s="930">
        <f t="shared" ref="J53:J60" si="21">ROUND($J$39*F53,0)</f>
        <v>37</v>
      </c>
      <c r="K53" s="931">
        <f t="shared" ref="K53:K60" si="22">ROUND($K$39*F53,1)</f>
        <v>11</v>
      </c>
      <c r="L53" s="930">
        <f t="shared" ref="L53:L60" si="23">ROUND($L$39*F53,0)</f>
        <v>83</v>
      </c>
    </row>
    <row r="54" spans="2:12" s="896" customFormat="1" x14ac:dyDescent="0.2">
      <c r="B54" s="897"/>
      <c r="C54" s="925" t="s">
        <v>380</v>
      </c>
      <c r="D54" s="932">
        <v>2016</v>
      </c>
      <c r="E54" s="927">
        <v>94.9</v>
      </c>
      <c r="F54" s="928">
        <f t="shared" si="16"/>
        <v>1.2308690012970169</v>
      </c>
      <c r="G54" s="929">
        <f t="shared" si="17"/>
        <v>-4.7684443427176149E-4</v>
      </c>
      <c r="H54" s="930">
        <f t="shared" si="19"/>
        <v>283</v>
      </c>
      <c r="I54" s="930">
        <f t="shared" si="20"/>
        <v>338</v>
      </c>
      <c r="J54" s="930">
        <f t="shared" si="21"/>
        <v>37</v>
      </c>
      <c r="K54" s="931">
        <f t="shared" si="22"/>
        <v>11.1</v>
      </c>
      <c r="L54" s="930">
        <f t="shared" si="23"/>
        <v>84</v>
      </c>
    </row>
    <row r="55" spans="2:12" s="896" customFormat="1" x14ac:dyDescent="0.2">
      <c r="B55" s="897"/>
      <c r="C55" s="925" t="s">
        <v>381</v>
      </c>
      <c r="D55" s="932">
        <v>2017</v>
      </c>
      <c r="E55" s="927">
        <v>95.6</v>
      </c>
      <c r="F55" s="928">
        <f t="shared" si="16"/>
        <v>1.2399481193255513</v>
      </c>
      <c r="G55" s="929">
        <f t="shared" si="17"/>
        <v>2.4795910582131597E-4</v>
      </c>
      <c r="H55" s="930">
        <f t="shared" si="19"/>
        <v>285</v>
      </c>
      <c r="I55" s="930">
        <f t="shared" si="20"/>
        <v>341</v>
      </c>
      <c r="J55" s="930">
        <f t="shared" si="21"/>
        <v>37</v>
      </c>
      <c r="K55" s="931">
        <f t="shared" si="22"/>
        <v>11.2</v>
      </c>
      <c r="L55" s="930">
        <f t="shared" si="23"/>
        <v>84</v>
      </c>
    </row>
    <row r="56" spans="2:12" s="896" customFormat="1" x14ac:dyDescent="0.2">
      <c r="B56" s="897"/>
      <c r="C56" s="925" t="s">
        <v>382</v>
      </c>
      <c r="D56" s="932">
        <v>2018</v>
      </c>
      <c r="E56" s="927">
        <v>96.9</v>
      </c>
      <c r="F56" s="928">
        <f t="shared" si="16"/>
        <v>1.256809338521401</v>
      </c>
      <c r="G56" s="929">
        <f t="shared" si="17"/>
        <v>-6.8188754100884097E-4</v>
      </c>
      <c r="H56" s="930">
        <f t="shared" si="19"/>
        <v>289</v>
      </c>
      <c r="I56" s="930">
        <f t="shared" si="20"/>
        <v>346</v>
      </c>
      <c r="J56" s="930">
        <f t="shared" si="21"/>
        <v>38</v>
      </c>
      <c r="K56" s="931">
        <f t="shared" si="22"/>
        <v>11.3</v>
      </c>
      <c r="L56" s="930">
        <f t="shared" si="23"/>
        <v>85</v>
      </c>
    </row>
    <row r="57" spans="2:12" s="896" customFormat="1" x14ac:dyDescent="0.2">
      <c r="B57" s="897"/>
      <c r="C57" s="925" t="s">
        <v>383</v>
      </c>
      <c r="D57" s="932">
        <v>2019</v>
      </c>
      <c r="E57" s="927">
        <v>99.1</v>
      </c>
      <c r="F57" s="928">
        <f t="shared" si="16"/>
        <v>1.2853437094682232</v>
      </c>
      <c r="G57" s="929">
        <f t="shared" si="17"/>
        <v>1.9550621805142221E-4</v>
      </c>
      <c r="H57" s="930">
        <f t="shared" si="19"/>
        <v>296</v>
      </c>
      <c r="I57" s="930">
        <f t="shared" si="20"/>
        <v>353</v>
      </c>
      <c r="J57" s="930">
        <f t="shared" si="21"/>
        <v>39</v>
      </c>
      <c r="K57" s="931">
        <f t="shared" si="22"/>
        <v>11.6</v>
      </c>
      <c r="L57" s="930">
        <f t="shared" si="23"/>
        <v>87</v>
      </c>
    </row>
    <row r="58" spans="2:12" s="896" customFormat="1" x14ac:dyDescent="0.2">
      <c r="B58" s="897"/>
      <c r="C58" s="925" t="s">
        <v>384</v>
      </c>
      <c r="D58" s="932">
        <v>2020</v>
      </c>
      <c r="E58" s="927">
        <v>100.2</v>
      </c>
      <c r="F58" s="928">
        <f t="shared" si="16"/>
        <v>1.2996108949416343</v>
      </c>
      <c r="G58" s="929">
        <f t="shared" si="17"/>
        <v>6.3420309758144278E-4</v>
      </c>
      <c r="H58" s="930">
        <f t="shared" si="19"/>
        <v>299</v>
      </c>
      <c r="I58" s="930">
        <f t="shared" si="20"/>
        <v>357</v>
      </c>
      <c r="J58" s="930">
        <f t="shared" si="21"/>
        <v>39</v>
      </c>
      <c r="K58" s="931">
        <f t="shared" si="22"/>
        <v>11.7</v>
      </c>
      <c r="L58" s="930">
        <f t="shared" si="23"/>
        <v>88</v>
      </c>
    </row>
    <row r="59" spans="2:12" s="896" customFormat="1" x14ac:dyDescent="0.2">
      <c r="B59" s="897"/>
      <c r="C59" s="925" t="s">
        <v>385</v>
      </c>
      <c r="D59" s="932">
        <v>2021</v>
      </c>
      <c r="E59" s="927">
        <v>99.9</v>
      </c>
      <c r="F59" s="928">
        <f t="shared" si="16"/>
        <v>1.2957198443579767</v>
      </c>
      <c r="G59" s="929">
        <f t="shared" si="17"/>
        <v>2.0742732890821625E-3</v>
      </c>
      <c r="H59" s="930">
        <f t="shared" si="19"/>
        <v>298</v>
      </c>
      <c r="I59" s="930">
        <f>ROUND($I$39*F59,0)</f>
        <v>356</v>
      </c>
      <c r="J59" s="930">
        <f t="shared" si="21"/>
        <v>39</v>
      </c>
      <c r="K59" s="931">
        <f t="shared" si="22"/>
        <v>11.7</v>
      </c>
      <c r="L59" s="930">
        <f t="shared" si="23"/>
        <v>88</v>
      </c>
    </row>
    <row r="60" spans="2:12" s="896" customFormat="1" x14ac:dyDescent="0.2">
      <c r="B60" s="897"/>
      <c r="C60" s="925" t="s">
        <v>386</v>
      </c>
      <c r="D60" s="933">
        <v>2022</v>
      </c>
      <c r="E60" s="927">
        <v>104.3</v>
      </c>
      <c r="F60" s="928">
        <f t="shared" si="16"/>
        <v>1.3527885862516213</v>
      </c>
      <c r="G60" s="929">
        <f t="shared" si="17"/>
        <v>3.8290608072022447E-3</v>
      </c>
      <c r="H60" s="930">
        <f t="shared" si="19"/>
        <v>311</v>
      </c>
      <c r="I60" s="930">
        <f t="shared" si="20"/>
        <v>372</v>
      </c>
      <c r="J60" s="930">
        <f t="shared" si="21"/>
        <v>41</v>
      </c>
      <c r="K60" s="931">
        <f t="shared" si="22"/>
        <v>12.2</v>
      </c>
      <c r="L60" s="930">
        <f t="shared" si="23"/>
        <v>92</v>
      </c>
    </row>
    <row r="61" spans="2:12" s="896" customFormat="1" x14ac:dyDescent="0.2">
      <c r="B61" s="897"/>
      <c r="C61" s="925" t="s">
        <v>387</v>
      </c>
      <c r="D61" s="932">
        <v>2023</v>
      </c>
      <c r="E61" s="927">
        <v>113.5</v>
      </c>
      <c r="F61" s="934">
        <f>E61/E$40</f>
        <v>1.4721141374837874</v>
      </c>
      <c r="G61" s="935">
        <f t="shared" si="17"/>
        <v>2.543488212405598E-2</v>
      </c>
      <c r="H61" s="936">
        <f>ROUND($H$39*F61,0)</f>
        <v>339</v>
      </c>
      <c r="I61" s="937">
        <f>ROUND($I$39*F61,0)</f>
        <v>405</v>
      </c>
      <c r="J61" s="938">
        <f>ROUND($J$39*F61,0)</f>
        <v>44</v>
      </c>
      <c r="K61" s="939">
        <f t="shared" ref="K61:K65" si="24">ROUND($K$39*F61,1)</f>
        <v>13.2</v>
      </c>
      <c r="L61" s="938">
        <f t="shared" ref="L61:L65" si="25">ROUND($L$39*F61,0)</f>
        <v>100</v>
      </c>
    </row>
    <row r="62" spans="2:12" s="896" customFormat="1" x14ac:dyDescent="0.2">
      <c r="B62" s="897"/>
      <c r="C62" s="940" t="s">
        <v>387</v>
      </c>
      <c r="D62" s="941">
        <v>2024</v>
      </c>
      <c r="E62" s="942">
        <v>113.5</v>
      </c>
      <c r="F62" s="943">
        <f>E62/E$40</f>
        <v>1.4721141374837874</v>
      </c>
      <c r="G62" s="944">
        <f t="shared" si="17"/>
        <v>5.5771725032425445E-2</v>
      </c>
      <c r="H62" s="945">
        <f t="shared" ref="H62:H65" si="26">ROUND($H$39*F62,0)</f>
        <v>339</v>
      </c>
      <c r="I62" s="946">
        <f t="shared" ref="I62:I65" si="27">ROUND($I$39*F62,0)</f>
        <v>405</v>
      </c>
      <c r="J62" s="947">
        <f t="shared" ref="J62:J65" si="28">ROUND($J$39*F62,0)</f>
        <v>44</v>
      </c>
      <c r="K62" s="948">
        <f t="shared" si="24"/>
        <v>13.2</v>
      </c>
      <c r="L62" s="947">
        <f t="shared" si="25"/>
        <v>100</v>
      </c>
    </row>
    <row r="63" spans="2:12" s="896" customFormat="1" x14ac:dyDescent="0.2">
      <c r="B63" s="897"/>
      <c r="C63" s="940" t="s">
        <v>387</v>
      </c>
      <c r="D63" s="941">
        <v>2025</v>
      </c>
      <c r="E63" s="942">
        <v>113.5</v>
      </c>
      <c r="F63" s="943">
        <f t="shared" ref="F63:F65" si="29">E63/E$40</f>
        <v>1.4721141374837874</v>
      </c>
      <c r="G63" s="944">
        <f t="shared" si="17"/>
        <v>8.6900129701686257E-2</v>
      </c>
      <c r="H63" s="945">
        <f t="shared" si="26"/>
        <v>339</v>
      </c>
      <c r="I63" s="946">
        <f t="shared" si="27"/>
        <v>405</v>
      </c>
      <c r="J63" s="947">
        <f t="shared" si="28"/>
        <v>44</v>
      </c>
      <c r="K63" s="948">
        <f t="shared" si="24"/>
        <v>13.2</v>
      </c>
      <c r="L63" s="947">
        <f t="shared" si="25"/>
        <v>100</v>
      </c>
    </row>
    <row r="64" spans="2:12" s="896" customFormat="1" x14ac:dyDescent="0.2">
      <c r="B64" s="897"/>
      <c r="C64" s="940" t="s">
        <v>387</v>
      </c>
      <c r="D64" s="941">
        <v>2026</v>
      </c>
      <c r="E64" s="942">
        <v>113.5</v>
      </c>
      <c r="F64" s="943">
        <f t="shared" si="29"/>
        <v>1.4721141374837874</v>
      </c>
      <c r="G64" s="944">
        <f t="shared" si="17"/>
        <v>8.6900129701686257E-2</v>
      </c>
      <c r="H64" s="945">
        <f t="shared" si="26"/>
        <v>339</v>
      </c>
      <c r="I64" s="946">
        <f t="shared" si="27"/>
        <v>405</v>
      </c>
      <c r="J64" s="947">
        <f t="shared" si="28"/>
        <v>44</v>
      </c>
      <c r="K64" s="948">
        <f t="shared" si="24"/>
        <v>13.2</v>
      </c>
      <c r="L64" s="947">
        <f t="shared" si="25"/>
        <v>100</v>
      </c>
    </row>
    <row r="65" spans="2:12" s="896" customFormat="1" ht="13.5" thickBot="1" x14ac:dyDescent="0.25">
      <c r="B65" s="897"/>
      <c r="C65" s="949" t="s">
        <v>387</v>
      </c>
      <c r="D65" s="950">
        <v>2027</v>
      </c>
      <c r="E65" s="951">
        <v>113.5</v>
      </c>
      <c r="F65" s="952">
        <f t="shared" si="29"/>
        <v>1.4721141374837874</v>
      </c>
      <c r="G65" s="953">
        <f t="shared" si="17"/>
        <v>8.6900129701686257E-2</v>
      </c>
      <c r="H65" s="954">
        <f t="shared" si="26"/>
        <v>339</v>
      </c>
      <c r="I65" s="955">
        <f t="shared" si="27"/>
        <v>405</v>
      </c>
      <c r="J65" s="956">
        <f t="shared" si="28"/>
        <v>44</v>
      </c>
      <c r="K65" s="957">
        <f t="shared" si="24"/>
        <v>13.2</v>
      </c>
      <c r="L65" s="956">
        <f t="shared" si="25"/>
        <v>100</v>
      </c>
    </row>
    <row r="67" spans="2:12" x14ac:dyDescent="0.2">
      <c r="B67" s="584"/>
      <c r="C67" s="584"/>
      <c r="D67" s="584"/>
      <c r="E67" s="584"/>
      <c r="F67" s="584"/>
      <c r="G67" s="584"/>
      <c r="H67" s="584"/>
      <c r="I67" s="584"/>
      <c r="J67" s="584"/>
      <c r="K67" s="584"/>
    </row>
    <row r="68" spans="2:12" x14ac:dyDescent="0.2">
      <c r="B68" s="584"/>
      <c r="C68" s="585" t="str">
        <f>"Bewirtschaftungskosten Wohnen für das Jahr "&amp;YEAR(KPA!G9)</f>
        <v>Bewirtschaftungskosten Wohnen für das Jahr 1900</v>
      </c>
      <c r="D68" s="318"/>
      <c r="E68" s="318"/>
      <c r="F68" s="318"/>
      <c r="G68" s="318"/>
      <c r="H68" s="74"/>
      <c r="I68" s="74"/>
      <c r="J68" s="74"/>
      <c r="K68" s="74"/>
    </row>
    <row r="69" spans="2:12" ht="14.25" x14ac:dyDescent="0.2">
      <c r="B69" s="584"/>
      <c r="C69" s="586" t="s">
        <v>339</v>
      </c>
      <c r="D69" s="587" t="s">
        <v>340</v>
      </c>
      <c r="E69" s="588">
        <f>IF(ISNUMBER(SEARCH("Eigen",KPA!E7)),(VLOOKUP(YEAR(KPA!$G$9),'EW-BWK'!$D$3:$L$32,6)),(VLOOKUP(YEAR(KPA!$G$9),'EW-BWK'!$D$3:$L$32,5)))</f>
        <v>5</v>
      </c>
      <c r="F69" s="318">
        <f>KPA!H42</f>
        <v>0</v>
      </c>
      <c r="G69" s="589">
        <f>$E69*$F69</f>
        <v>0</v>
      </c>
      <c r="H69" s="74"/>
      <c r="I69" s="74"/>
      <c r="J69" s="74"/>
      <c r="K69" s="74"/>
    </row>
    <row r="70" spans="2:12" ht="14.25" x14ac:dyDescent="0.2">
      <c r="B70" s="584"/>
      <c r="C70" s="586" t="s">
        <v>341</v>
      </c>
      <c r="D70" s="587" t="s">
        <v>340</v>
      </c>
      <c r="E70" s="588">
        <f>VLOOKUP(YEAR(KPA!$G$9),'EW-BWK'!$D$3:$L$32,7)</f>
        <v>7</v>
      </c>
      <c r="F70" s="318">
        <f>KPA!G13+KPA!K13</f>
        <v>0</v>
      </c>
      <c r="G70" s="589">
        <f>$E70*$F70</f>
        <v>0</v>
      </c>
      <c r="H70" s="74"/>
      <c r="I70" s="74"/>
      <c r="J70" s="74"/>
      <c r="K70" s="74"/>
    </row>
    <row r="71" spans="2:12" ht="14.25" x14ac:dyDescent="0.2">
      <c r="B71" s="584"/>
      <c r="C71" s="586" t="s">
        <v>342</v>
      </c>
      <c r="D71" s="587" t="s">
        <v>343</v>
      </c>
      <c r="E71" s="588">
        <f>VLOOKUP(YEAR(KPA!$G$9),'EW-BWK'!$D$3:$L$32,8)</f>
        <v>8</v>
      </c>
      <c r="F71" s="590">
        <f>KPA!K11</f>
        <v>0</v>
      </c>
      <c r="G71" s="589">
        <f>$E71*$F71</f>
        <v>0</v>
      </c>
      <c r="H71" s="74"/>
      <c r="I71" s="74"/>
      <c r="J71" s="74"/>
      <c r="K71" s="74"/>
    </row>
    <row r="72" spans="2:12" ht="14.25" x14ac:dyDescent="0.2">
      <c r="B72" s="584"/>
      <c r="C72" s="586" t="s">
        <v>344</v>
      </c>
      <c r="D72" s="587" t="s">
        <v>357</v>
      </c>
      <c r="E72" s="588">
        <f>VLOOKUP(YEAR(KPA!$G$9),'EW-BWK'!$D$3:$L$32,9)</f>
        <v>9</v>
      </c>
      <c r="F72" s="590">
        <f>KPA!G13+KPA!K13</f>
        <v>0</v>
      </c>
      <c r="G72" s="589">
        <f>$E72*$F72</f>
        <v>0</v>
      </c>
      <c r="H72" s="74"/>
      <c r="I72" s="74"/>
      <c r="J72" s="74"/>
      <c r="K72" s="74"/>
    </row>
    <row r="73" spans="2:12" ht="15" thickBot="1" x14ac:dyDescent="0.25">
      <c r="B73" s="584"/>
      <c r="C73" s="586" t="s">
        <v>345</v>
      </c>
      <c r="D73" s="587" t="s">
        <v>346</v>
      </c>
      <c r="E73" s="591">
        <v>2</v>
      </c>
      <c r="F73" s="592">
        <f>KPA!K80</f>
        <v>0</v>
      </c>
      <c r="G73" s="706">
        <f>$F73*$E73/100</f>
        <v>0</v>
      </c>
      <c r="H73" s="74"/>
      <c r="I73" s="74"/>
      <c r="J73" s="74"/>
      <c r="K73" s="74"/>
    </row>
    <row r="74" spans="2:12" ht="15" thickBot="1" x14ac:dyDescent="0.25">
      <c r="B74" s="584"/>
      <c r="C74" s="586" t="s">
        <v>347</v>
      </c>
      <c r="D74" s="593"/>
      <c r="E74" s="594"/>
      <c r="F74" s="705"/>
      <c r="G74" s="707">
        <f>SUM(G69:G73)</f>
        <v>0</v>
      </c>
      <c r="H74" s="74" t="e">
        <f>ROUND(G74/F73*100,2)&amp;"%"</f>
        <v>#DIV/0!</v>
      </c>
      <c r="I74" s="74"/>
      <c r="J74" s="74"/>
      <c r="K74" s="74"/>
    </row>
    <row r="75" spans="2:12" s="346" customFormat="1" ht="34.5" customHeight="1" x14ac:dyDescent="0.2">
      <c r="B75" s="595"/>
      <c r="C75" s="789"/>
      <c r="D75" s="789"/>
      <c r="E75" s="789"/>
      <c r="F75" s="789"/>
      <c r="G75" s="789"/>
      <c r="H75" s="789"/>
      <c r="I75" s="789"/>
      <c r="J75" s="789"/>
      <c r="K75" s="789"/>
    </row>
    <row r="77" spans="2:12" x14ac:dyDescent="0.2">
      <c r="B77" s="691"/>
      <c r="C77" s="691"/>
      <c r="D77" s="691"/>
      <c r="E77" s="691"/>
      <c r="F77" s="691"/>
      <c r="G77" s="691"/>
      <c r="H77" s="691"/>
      <c r="I77" s="691"/>
      <c r="J77" s="691"/>
      <c r="K77" s="691"/>
    </row>
    <row r="78" spans="2:12" x14ac:dyDescent="0.2">
      <c r="B78" s="691"/>
      <c r="C78" s="679" t="str">
        <f>"Bewirtschaftungskosten bei gewerblicher Nutzung für das Jahr "&amp;YEAR(KPA!G9)</f>
        <v>Bewirtschaftungskosten bei gewerblicher Nutzung für das Jahr 1900</v>
      </c>
      <c r="D78" s="680"/>
      <c r="E78" s="680"/>
      <c r="F78" s="680"/>
      <c r="G78" s="680"/>
      <c r="H78" s="681"/>
      <c r="I78" s="681"/>
      <c r="J78" s="681"/>
      <c r="K78" s="681"/>
    </row>
    <row r="79" spans="2:12" ht="14.25" x14ac:dyDescent="0.2">
      <c r="B79" s="691"/>
      <c r="C79" s="682" t="s">
        <v>339</v>
      </c>
      <c r="D79" s="683" t="s">
        <v>346</v>
      </c>
      <c r="E79" s="684">
        <v>3</v>
      </c>
      <c r="F79" s="685">
        <f>KPA!$K$80</f>
        <v>0</v>
      </c>
      <c r="G79" s="686">
        <f>$E79*$F79/100</f>
        <v>0</v>
      </c>
      <c r="H79" s="681"/>
      <c r="I79" s="681"/>
      <c r="J79" s="681"/>
      <c r="K79" s="681"/>
    </row>
    <row r="80" spans="2:12" ht="14.25" x14ac:dyDescent="0.2">
      <c r="B80" s="691"/>
      <c r="C80" s="682" t="s">
        <v>342</v>
      </c>
      <c r="D80" s="683" t="s">
        <v>343</v>
      </c>
      <c r="E80" s="687">
        <f>VLOOKUP(YEAR(KPA!$G$9),'EW-BWK'!$D$3:$L$32,8)</f>
        <v>8</v>
      </c>
      <c r="F80" s="688">
        <f>KPA!K11</f>
        <v>0</v>
      </c>
      <c r="G80" s="686">
        <f>$E80*$F80</f>
        <v>0</v>
      </c>
      <c r="H80" s="681"/>
      <c r="I80" s="681"/>
      <c r="J80" s="681"/>
      <c r="K80" s="681"/>
    </row>
    <row r="81" spans="2:11" ht="14.25" x14ac:dyDescent="0.2">
      <c r="B81" s="691"/>
      <c r="C81" s="682" t="s">
        <v>344</v>
      </c>
      <c r="D81" s="683" t="s">
        <v>357</v>
      </c>
      <c r="E81" s="687">
        <f>VLOOKUP(YEAR(KPA!$G$9),'EW-BWK'!$D$3:$L$32,9)</f>
        <v>9</v>
      </c>
      <c r="F81" s="688">
        <f>KPA!G13+KPA!K13</f>
        <v>0</v>
      </c>
      <c r="G81" s="686">
        <f>$E81*$F81</f>
        <v>0</v>
      </c>
      <c r="H81" s="681"/>
      <c r="I81" s="681"/>
      <c r="J81" s="681"/>
      <c r="K81" s="681"/>
    </row>
    <row r="82" spans="2:11" ht="15" thickBot="1" x14ac:dyDescent="0.25">
      <c r="B82" s="691"/>
      <c r="C82" s="682" t="s">
        <v>345</v>
      </c>
      <c r="D82" s="683" t="s">
        <v>346</v>
      </c>
      <c r="E82" s="684">
        <v>4</v>
      </c>
      <c r="F82" s="685">
        <f>KPA!$K$80</f>
        <v>0</v>
      </c>
      <c r="G82" s="703">
        <f>$F82*$E82/100</f>
        <v>0</v>
      </c>
      <c r="H82" s="681"/>
      <c r="I82" s="681"/>
      <c r="J82" s="681"/>
      <c r="K82" s="681"/>
    </row>
    <row r="83" spans="2:11" ht="15" thickBot="1" x14ac:dyDescent="0.25">
      <c r="B83" s="691"/>
      <c r="C83" s="682" t="s">
        <v>347</v>
      </c>
      <c r="D83" s="689"/>
      <c r="E83" s="690"/>
      <c r="F83" s="702"/>
      <c r="G83" s="704">
        <f>SUM(G79:G82)</f>
        <v>0</v>
      </c>
      <c r="H83" s="681" t="e">
        <f>ROUND(G83/F82*100,2)&amp;"%"</f>
        <v>#DIV/0!</v>
      </c>
      <c r="I83" s="681"/>
      <c r="J83" s="681"/>
      <c r="K83" s="681"/>
    </row>
    <row r="84" spans="2:11" s="346" customFormat="1" ht="34.5" customHeight="1" x14ac:dyDescent="0.2">
      <c r="B84" s="692"/>
      <c r="C84" s="792"/>
      <c r="D84" s="792"/>
      <c r="E84" s="792"/>
      <c r="F84" s="792"/>
      <c r="G84" s="792"/>
      <c r="H84" s="792"/>
      <c r="I84" s="792"/>
      <c r="J84" s="792"/>
      <c r="K84" s="792"/>
    </row>
    <row r="86" spans="2:11" x14ac:dyDescent="0.2">
      <c r="B86" s="596"/>
      <c r="C86" s="596"/>
      <c r="D86" s="596"/>
      <c r="E86" s="596"/>
      <c r="F86" s="596"/>
      <c r="G86" s="596"/>
      <c r="H86" s="596"/>
      <c r="I86" s="596"/>
      <c r="J86" s="596"/>
      <c r="K86" s="596"/>
    </row>
    <row r="87" spans="2:11" x14ac:dyDescent="0.2">
      <c r="B87" s="596"/>
      <c r="C87" s="597" t="str">
        <f>"Bewirtschaftungskosten bei gewerblicher Nutzung wie z. B. SB-Verbrauchermärkte und vergleichbare Nutzungen für das Jahr "&amp;YEAR(KPA!G9)</f>
        <v>Bewirtschaftungskosten bei gewerblicher Nutzung wie z. B. SB-Verbrauchermärkte und vergleichbare Nutzungen für das Jahr 1900</v>
      </c>
      <c r="D87" s="598"/>
      <c r="E87" s="598"/>
      <c r="F87" s="598"/>
      <c r="G87" s="598"/>
      <c r="H87" s="599"/>
      <c r="I87" s="599"/>
      <c r="J87" s="599"/>
      <c r="K87" s="599"/>
    </row>
    <row r="88" spans="2:11" ht="14.25" x14ac:dyDescent="0.2">
      <c r="B88" s="596"/>
      <c r="C88" s="600" t="s">
        <v>339</v>
      </c>
      <c r="D88" s="601" t="s">
        <v>346</v>
      </c>
      <c r="E88" s="602">
        <v>3</v>
      </c>
      <c r="F88" s="603">
        <f>KPA!$K$80</f>
        <v>0</v>
      </c>
      <c r="G88" s="604">
        <f>$E88*$F88/100</f>
        <v>0</v>
      </c>
      <c r="H88" s="599"/>
      <c r="I88" s="599"/>
      <c r="J88" s="599"/>
      <c r="K88" s="599"/>
    </row>
    <row r="89" spans="2:11" ht="14.25" x14ac:dyDescent="0.2">
      <c r="B89" s="596"/>
      <c r="C89" s="600" t="s">
        <v>342</v>
      </c>
      <c r="D89" s="601" t="s">
        <v>343</v>
      </c>
      <c r="E89" s="605">
        <f>VLOOKUP(YEAR(KPA!$G$9),'EW-BWK'!$D$3:$L$32,8)*0.5</f>
        <v>4</v>
      </c>
      <c r="F89" s="606">
        <f>KPA!K11</f>
        <v>0</v>
      </c>
      <c r="G89" s="604">
        <f>$E89*$F89</f>
        <v>0</v>
      </c>
      <c r="H89" s="599"/>
      <c r="I89" s="599"/>
      <c r="J89" s="599"/>
      <c r="K89" s="599"/>
    </row>
    <row r="90" spans="2:11" ht="14.25" x14ac:dyDescent="0.2">
      <c r="B90" s="596"/>
      <c r="C90" s="600" t="s">
        <v>344</v>
      </c>
      <c r="D90" s="601" t="s">
        <v>357</v>
      </c>
      <c r="E90" s="605">
        <f>VLOOKUP(YEAR(KPA!$G$9),'EW-BWK'!$D$3:$L$32,9)*0.5</f>
        <v>4.5</v>
      </c>
      <c r="F90" s="606">
        <f>KPA!G13+KPA!K13</f>
        <v>0</v>
      </c>
      <c r="G90" s="604">
        <f>$E90*$F90</f>
        <v>0</v>
      </c>
      <c r="H90" s="599"/>
      <c r="I90" s="599"/>
      <c r="J90" s="599"/>
      <c r="K90" s="599"/>
    </row>
    <row r="91" spans="2:11" ht="15" thickBot="1" x14ac:dyDescent="0.25">
      <c r="B91" s="596"/>
      <c r="C91" s="600" t="s">
        <v>345</v>
      </c>
      <c r="D91" s="601" t="s">
        <v>346</v>
      </c>
      <c r="E91" s="602">
        <v>4</v>
      </c>
      <c r="F91" s="603">
        <f>KPA!$K$80</f>
        <v>0</v>
      </c>
      <c r="G91" s="785">
        <f>$F91*$E91/100</f>
        <v>0</v>
      </c>
      <c r="H91" s="599"/>
      <c r="I91" s="599"/>
      <c r="J91" s="599"/>
      <c r="K91" s="599"/>
    </row>
    <row r="92" spans="2:11" ht="15" thickBot="1" x14ac:dyDescent="0.25">
      <c r="B92" s="596"/>
      <c r="C92" s="600" t="s">
        <v>347</v>
      </c>
      <c r="D92" s="607"/>
      <c r="E92" s="608"/>
      <c r="F92" s="784"/>
      <c r="G92" s="786">
        <f>SUM(G88:G91)</f>
        <v>0</v>
      </c>
      <c r="H92" s="599" t="e">
        <f>ROUND(G92/F91*100,2)&amp;"%"</f>
        <v>#DIV/0!</v>
      </c>
      <c r="I92" s="599"/>
      <c r="J92" s="599"/>
      <c r="K92" s="599"/>
    </row>
    <row r="93" spans="2:11" s="346" customFormat="1" ht="34.5" customHeight="1" x14ac:dyDescent="0.2">
      <c r="B93" s="609"/>
      <c r="C93" s="790"/>
      <c r="D93" s="790"/>
      <c r="E93" s="790"/>
      <c r="F93" s="790"/>
      <c r="G93" s="790"/>
      <c r="H93" s="790"/>
      <c r="I93" s="790"/>
      <c r="J93" s="790"/>
      <c r="K93" s="790"/>
    </row>
    <row r="94" spans="2:11" ht="14.25" x14ac:dyDescent="0.2">
      <c r="C94" s="610"/>
      <c r="D94" s="611"/>
      <c r="E94" s="612"/>
      <c r="F94" s="613"/>
      <c r="G94" s="614"/>
    </row>
    <row r="95" spans="2:11" x14ac:dyDescent="0.2">
      <c r="B95" s="615"/>
      <c r="C95" s="615"/>
      <c r="D95" s="615"/>
      <c r="E95" s="615"/>
      <c r="F95" s="615"/>
      <c r="G95" s="615"/>
      <c r="H95" s="615"/>
      <c r="I95" s="615"/>
      <c r="J95" s="615"/>
      <c r="K95" s="615"/>
    </row>
    <row r="96" spans="2:11" x14ac:dyDescent="0.2">
      <c r="B96" s="615"/>
      <c r="C96" s="616" t="str">
        <f>"Bewirtschaftungskosten bei gewerblicher Nutzung wie z. B. Lager-, Logistik- und Produktionshallen und vergleichbare Nutzungen für das Jahr "&amp;YEAR(KPA!G9)</f>
        <v>Bewirtschaftungskosten bei gewerblicher Nutzung wie z. B. Lager-, Logistik- und Produktionshallen und vergleichbare Nutzungen für das Jahr 1900</v>
      </c>
      <c r="D96" s="617"/>
      <c r="E96" s="617"/>
      <c r="F96" s="617"/>
      <c r="G96" s="617"/>
      <c r="H96" s="618"/>
      <c r="I96" s="618"/>
      <c r="J96" s="618"/>
      <c r="K96" s="618"/>
    </row>
    <row r="97" spans="2:11" ht="14.25" x14ac:dyDescent="0.2">
      <c r="B97" s="615"/>
      <c r="C97" s="619" t="s">
        <v>339</v>
      </c>
      <c r="D97" s="620" t="s">
        <v>346</v>
      </c>
      <c r="E97" s="621">
        <v>3</v>
      </c>
      <c r="F97" s="622">
        <f>KPA!$K$80</f>
        <v>0</v>
      </c>
      <c r="G97" s="623">
        <f>$E97*$F97/100</f>
        <v>0</v>
      </c>
      <c r="H97" s="618"/>
      <c r="I97" s="618"/>
      <c r="J97" s="618"/>
      <c r="K97" s="618"/>
    </row>
    <row r="98" spans="2:11" ht="14.25" x14ac:dyDescent="0.2">
      <c r="B98" s="615"/>
      <c r="C98" s="619" t="s">
        <v>342</v>
      </c>
      <c r="D98" s="620" t="s">
        <v>343</v>
      </c>
      <c r="E98" s="624">
        <f>VLOOKUP(YEAR(KPA!$G$9),'EW-BWK'!$D$3:$L$32,8)*0.3</f>
        <v>2.4</v>
      </c>
      <c r="F98" s="625">
        <f>KPA!K11</f>
        <v>0</v>
      </c>
      <c r="G98" s="623">
        <f>$E98*$F98</f>
        <v>0</v>
      </c>
      <c r="H98" s="618"/>
      <c r="I98" s="618"/>
      <c r="J98" s="618"/>
      <c r="K98" s="618"/>
    </row>
    <row r="99" spans="2:11" ht="14.25" x14ac:dyDescent="0.2">
      <c r="B99" s="615"/>
      <c r="C99" s="619" t="s">
        <v>344</v>
      </c>
      <c r="D99" s="620" t="s">
        <v>357</v>
      </c>
      <c r="E99" s="624">
        <f>VLOOKUP(YEAR(KPA!$G$9),'EW-BWK'!$D$3:$L$32,9)*0.3</f>
        <v>2.6999999999999997</v>
      </c>
      <c r="F99" s="625">
        <f>KPA!G13+KPA!K13</f>
        <v>0</v>
      </c>
      <c r="G99" s="623">
        <f>$E99*$F99</f>
        <v>0</v>
      </c>
      <c r="H99" s="618"/>
      <c r="I99" s="618"/>
      <c r="J99" s="618"/>
      <c r="K99" s="618"/>
    </row>
    <row r="100" spans="2:11" ht="15" thickBot="1" x14ac:dyDescent="0.25">
      <c r="B100" s="615"/>
      <c r="C100" s="619" t="s">
        <v>345</v>
      </c>
      <c r="D100" s="620" t="s">
        <v>346</v>
      </c>
      <c r="E100" s="621">
        <v>4</v>
      </c>
      <c r="F100" s="622">
        <f>KPA!$K$80</f>
        <v>0</v>
      </c>
      <c r="G100" s="700">
        <f>$F100*$E100/100</f>
        <v>0</v>
      </c>
      <c r="H100" s="618"/>
      <c r="I100" s="618"/>
      <c r="J100" s="618"/>
      <c r="K100" s="618"/>
    </row>
    <row r="101" spans="2:11" ht="15" thickBot="1" x14ac:dyDescent="0.25">
      <c r="B101" s="615"/>
      <c r="C101" s="619" t="s">
        <v>347</v>
      </c>
      <c r="D101" s="626"/>
      <c r="E101" s="627"/>
      <c r="F101" s="699"/>
      <c r="G101" s="701">
        <f>SUM(G97:G100)</f>
        <v>0</v>
      </c>
      <c r="H101" s="618" t="e">
        <f>ROUND(G101/F100*100,2)&amp;"%"</f>
        <v>#DIV/0!</v>
      </c>
      <c r="I101" s="618"/>
      <c r="J101" s="618"/>
      <c r="K101" s="618"/>
    </row>
    <row r="102" spans="2:11" s="346" customFormat="1" ht="34.5" customHeight="1" x14ac:dyDescent="0.2">
      <c r="B102" s="628"/>
      <c r="C102" s="791"/>
      <c r="D102" s="791"/>
      <c r="E102" s="791"/>
      <c r="F102" s="791"/>
      <c r="G102" s="791"/>
      <c r="H102" s="791"/>
      <c r="I102" s="791"/>
      <c r="J102" s="791"/>
      <c r="K102" s="791"/>
    </row>
    <row r="103" spans="2:11" ht="36" customHeight="1" x14ac:dyDescent="0.2"/>
    <row r="104" spans="2:11" x14ac:dyDescent="0.2">
      <c r="B104" s="776"/>
      <c r="C104" s="783" t="s">
        <v>390</v>
      </c>
      <c r="D104" s="776"/>
      <c r="E104" s="776"/>
      <c r="F104" s="776"/>
      <c r="G104" s="776"/>
      <c r="H104" s="776"/>
      <c r="I104" s="776"/>
      <c r="J104" s="776"/>
      <c r="K104" s="776"/>
    </row>
    <row r="105" spans="2:11" x14ac:dyDescent="0.2">
      <c r="B105" s="776"/>
      <c r="C105" s="777" t="s">
        <v>245</v>
      </c>
      <c r="D105" s="778" t="e">
        <f>IF((('SW-NHK'!F81-(KPA!G10-KPA!F11))*100)/'SW-NHK'!F81&lt;30,'SW-NHK'!F81*0.3,('SW-NHK'!F81-(KPA!G10-KPA!F11)))</f>
        <v>#N/A</v>
      </c>
      <c r="E105" s="779"/>
      <c r="F105" s="779"/>
      <c r="G105" s="779"/>
      <c r="H105" s="779"/>
      <c r="I105" s="779"/>
      <c r="J105" s="779"/>
      <c r="K105" s="779"/>
    </row>
    <row r="106" spans="2:11" x14ac:dyDescent="0.2">
      <c r="B106" s="776"/>
      <c r="C106" s="777" t="s">
        <v>360</v>
      </c>
      <c r="D106" s="778" t="e">
        <f>IF(D105&lt;20,5,IF(D105&lt;=39,4,IF(D105&lt;=59,3,2)))</f>
        <v>#N/A</v>
      </c>
      <c r="E106" s="779"/>
      <c r="F106" s="779"/>
      <c r="G106" s="779"/>
      <c r="H106" s="779"/>
      <c r="I106" s="779"/>
      <c r="J106" s="779"/>
      <c r="K106" s="779"/>
    </row>
    <row r="107" spans="2:11" ht="13.5" thickBot="1" x14ac:dyDescent="0.25">
      <c r="B107" s="776"/>
      <c r="C107" s="777" t="s">
        <v>361</v>
      </c>
      <c r="D107" s="780" t="e">
        <f>VLOOKUP(KPA!E7,'EW-Bewertungsparameter'!A8:E67,D106,0)/100</f>
        <v>#N/A</v>
      </c>
      <c r="E107" s="779"/>
      <c r="F107" s="779"/>
      <c r="G107" s="779"/>
      <c r="H107" s="779"/>
      <c r="I107" s="779"/>
      <c r="J107" s="779"/>
      <c r="K107" s="779"/>
    </row>
    <row r="108" spans="2:11" ht="13.5" thickBot="1" x14ac:dyDescent="0.25">
      <c r="B108" s="776"/>
      <c r="C108" s="781" t="s">
        <v>362</v>
      </c>
      <c r="D108" s="782" t="e">
        <f>KPA!K80*D107</f>
        <v>#N/A</v>
      </c>
      <c r="E108" s="779"/>
      <c r="F108" s="779"/>
      <c r="G108" s="779"/>
      <c r="H108" s="779"/>
      <c r="I108" s="779"/>
      <c r="J108" s="779"/>
      <c r="K108" s="779"/>
    </row>
    <row r="109" spans="2:11" ht="39.75" customHeight="1" x14ac:dyDescent="0.2"/>
    <row r="110" spans="2:11" x14ac:dyDescent="0.2">
      <c r="B110" s="629"/>
      <c r="C110" s="629"/>
      <c r="D110" s="629"/>
      <c r="E110" s="629"/>
      <c r="F110" s="629"/>
      <c r="G110" s="629"/>
      <c r="H110" s="629"/>
      <c r="I110" s="629"/>
      <c r="J110" s="629"/>
      <c r="K110" s="629"/>
    </row>
    <row r="111" spans="2:11" ht="13.5" thickBot="1" x14ac:dyDescent="0.25">
      <c r="B111" s="629"/>
      <c r="C111" s="226"/>
      <c r="D111" s="226"/>
      <c r="E111" s="226"/>
      <c r="F111" s="226"/>
      <c r="G111" s="226"/>
      <c r="H111" s="226"/>
      <c r="I111" s="226"/>
      <c r="J111" s="226"/>
      <c r="K111" s="226"/>
    </row>
    <row r="112" spans="2:11" s="695" customFormat="1" ht="24" customHeight="1" thickBot="1" x14ac:dyDescent="0.25">
      <c r="B112" s="693"/>
      <c r="C112" s="787" t="s">
        <v>363</v>
      </c>
      <c r="D112" s="788"/>
      <c r="E112" s="788"/>
      <c r="F112" s="788"/>
      <c r="G112" s="788"/>
      <c r="H112" s="788"/>
      <c r="I112" s="788"/>
      <c r="J112" s="788"/>
      <c r="K112" s="694" t="e">
        <f>IF(KPA!G9&lt;DATE(2015,1,1),'EW-BWK'!D108,IF(ISNUMBER(SEARCH("Lager",KPA!E7)),G101,IF(ISNUMBER(SEARCH("Verbraucher",KPA!E7)),G92,IF(ISNUMBER(SEARCH("Wohnungs",KPA!E7)),G74,IF(ISNUMBER(SEARCH("Mietwohn",KPA!E7)),G74,IF(ISNUMBER(SEARCH("FH",KPA!E7)),G74,G83))))))</f>
        <v>#N/A</v>
      </c>
    </row>
  </sheetData>
  <sheetProtection algorithmName="SHA-512" hashValue="RZ+dk0YdcY4ogUr7iJXvgjPrSChQic9rp+5g9EbzsBYWVMyqs93hbrKF3LTwIA17wFxgPcY0T9348imOz+VcdQ==" saltValue="nDDFHLfDd1OoillomFhwZg==" spinCount="100000" sheet="1" objects="1" scenarios="1"/>
  <mergeCells count="5">
    <mergeCell ref="H4:J4"/>
    <mergeCell ref="K4:L4"/>
    <mergeCell ref="D33:E36"/>
    <mergeCell ref="H37:J37"/>
    <mergeCell ref="K37:L37"/>
  </mergeCells>
  <conditionalFormatting sqref="D107">
    <cfRule type="expression" dxfId="1" priority="3">
      <formula>$A$108="Ausblenden"</formula>
    </cfRule>
  </conditionalFormatting>
  <conditionalFormatting sqref="H40:L60">
    <cfRule type="expression" dxfId="0" priority="1">
      <formula>H40=H7</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tabColor theme="7" tint="0.39997558519241921"/>
  </sheetPr>
  <dimension ref="A1:AG80"/>
  <sheetViews>
    <sheetView zoomScaleNormal="100" workbookViewId="0">
      <pane xSplit="13080" ySplit="1260" topLeftCell="P10" activePane="bottomLeft"/>
      <selection activeCell="T46" sqref="G1:T1048576"/>
      <selection pane="topRight" activeCell="Y21" sqref="Y1:Y1048576"/>
      <selection pane="bottomLeft" activeCell="A19" sqref="A19"/>
      <selection pane="bottomRight" activeCell="Q16" sqref="Q16"/>
    </sheetView>
  </sheetViews>
  <sheetFormatPr baseColWidth="10" defaultColWidth="11.42578125" defaultRowHeight="12.75" x14ac:dyDescent="0.2"/>
  <cols>
    <col min="1" max="1" customWidth="true" style="74" width="118.7109375"/>
    <col min="2" max="5" style="74" width="11.42578125"/>
    <col min="6" max="6" style="312" width="11.42578125"/>
    <col min="7" max="16384" style="74" width="11.42578125"/>
  </cols>
  <sheetData>
    <row r="1" spans="1:26" s="305" customFormat="1" ht="48" customHeight="1" x14ac:dyDescent="0.35">
      <c r="A1" s="1140" t="s">
        <v>237</v>
      </c>
      <c r="B1" s="1140"/>
      <c r="C1" s="1140"/>
      <c r="D1" s="1140"/>
      <c r="E1" s="1140"/>
      <c r="F1" s="304"/>
    </row>
    <row r="2" spans="1:26" ht="15.75" x14ac:dyDescent="0.2">
      <c r="A2" s="306"/>
      <c r="B2" s="306"/>
      <c r="C2" s="306"/>
      <c r="D2" s="306"/>
      <c r="E2" s="306"/>
      <c r="F2" s="74"/>
    </row>
    <row r="3" spans="1:26" ht="16.5" thickBot="1" x14ac:dyDescent="0.25">
      <c r="A3" s="306"/>
      <c r="B3" s="306"/>
      <c r="C3" s="306"/>
      <c r="D3" s="306"/>
      <c r="E3" s="306"/>
      <c r="F3" s="74"/>
    </row>
    <row r="4" spans="1:26" ht="16.5" thickBot="1" x14ac:dyDescent="0.25">
      <c r="A4" s="306"/>
      <c r="B4" s="306"/>
      <c r="C4" s="306"/>
      <c r="D4" s="306"/>
      <c r="E4" s="306"/>
      <c r="F4" s="74"/>
      <c r="G4" s="1141" t="s">
        <v>251</v>
      </c>
      <c r="H4" s="1142"/>
      <c r="I4" s="1142"/>
      <c r="J4" s="1142"/>
      <c r="K4" s="1142"/>
      <c r="L4" s="1142"/>
      <c r="M4" s="1142"/>
      <c r="N4" s="1142"/>
      <c r="O4" s="1142"/>
      <c r="P4" s="1142"/>
      <c r="Q4" s="1142"/>
      <c r="R4" s="1142"/>
      <c r="S4" s="1142"/>
      <c r="T4" s="1142"/>
      <c r="U4" s="1142"/>
      <c r="V4" s="1142"/>
      <c r="W4" s="1142"/>
      <c r="X4" s="1142"/>
      <c r="Y4" s="1143"/>
    </row>
    <row r="5" spans="1:26" ht="16.5" thickBot="1" x14ac:dyDescent="0.25">
      <c r="A5" s="306"/>
      <c r="B5" s="306"/>
      <c r="C5" s="306"/>
      <c r="D5" s="306"/>
      <c r="E5" s="306"/>
      <c r="F5" s="74"/>
      <c r="G5" s="321">
        <v>2009</v>
      </c>
      <c r="H5" s="322">
        <f>G5+1</f>
        <v>2010</v>
      </c>
      <c r="I5" s="322">
        <f t="shared" ref="I5:P5" si="0">H5+1</f>
        <v>2011</v>
      </c>
      <c r="J5" s="322">
        <f t="shared" si="0"/>
        <v>2012</v>
      </c>
      <c r="K5" s="322">
        <f t="shared" si="0"/>
        <v>2013</v>
      </c>
      <c r="L5" s="322">
        <f t="shared" si="0"/>
        <v>2014</v>
      </c>
      <c r="M5" s="322">
        <f t="shared" si="0"/>
        <v>2015</v>
      </c>
      <c r="N5" s="322">
        <f t="shared" si="0"/>
        <v>2016</v>
      </c>
      <c r="O5" s="322">
        <f t="shared" si="0"/>
        <v>2017</v>
      </c>
      <c r="P5" s="370">
        <f t="shared" si="0"/>
        <v>2018</v>
      </c>
      <c r="Q5" s="717">
        <f t="shared" ref="Q5:Y5" si="1">P5+1</f>
        <v>2019</v>
      </c>
      <c r="R5" s="717">
        <f t="shared" ref="R5" si="2">Q5+1</f>
        <v>2020</v>
      </c>
      <c r="S5" s="717">
        <f t="shared" si="1"/>
        <v>2021</v>
      </c>
      <c r="T5" s="717">
        <f t="shared" si="1"/>
        <v>2022</v>
      </c>
      <c r="U5" s="717">
        <f t="shared" si="1"/>
        <v>2023</v>
      </c>
      <c r="V5" s="717">
        <f t="shared" si="1"/>
        <v>2024</v>
      </c>
      <c r="W5" s="717">
        <f t="shared" si="1"/>
        <v>2025</v>
      </c>
      <c r="X5" s="717">
        <f t="shared" si="1"/>
        <v>2026</v>
      </c>
      <c r="Y5" s="717">
        <f t="shared" si="1"/>
        <v>2027</v>
      </c>
      <c r="Z5" s="372" t="s">
        <v>261</v>
      </c>
    </row>
    <row r="6" spans="1:26" ht="32.25" thickBot="1" x14ac:dyDescent="0.25">
      <c r="A6" s="313"/>
      <c r="B6" s="314" t="s">
        <v>238</v>
      </c>
      <c r="C6" s="314" t="s">
        <v>239</v>
      </c>
      <c r="D6" s="314" t="s">
        <v>240</v>
      </c>
      <c r="E6" s="314" t="s">
        <v>241</v>
      </c>
      <c r="F6" s="315" t="s">
        <v>203</v>
      </c>
      <c r="G6" s="319">
        <v>6.2</v>
      </c>
      <c r="H6" s="318">
        <f>6.1</f>
        <v>6.1</v>
      </c>
      <c r="I6" s="318">
        <v>6</v>
      </c>
      <c r="J6" s="318">
        <f>5.9</f>
        <v>5.9</v>
      </c>
      <c r="K6" s="318">
        <f>5.1</f>
        <v>5.0999999999999996</v>
      </c>
      <c r="L6" s="318">
        <v>4.9000000000000004</v>
      </c>
      <c r="M6" s="318">
        <v>4.7</v>
      </c>
      <c r="N6" s="318">
        <v>4.3</v>
      </c>
      <c r="O6" s="318">
        <v>4.2</v>
      </c>
      <c r="P6" s="371">
        <v>3.6</v>
      </c>
      <c r="Q6" s="718">
        <v>3</v>
      </c>
      <c r="R6" s="720">
        <v>2.5</v>
      </c>
      <c r="S6" s="719">
        <v>2.5</v>
      </c>
      <c r="T6" s="719">
        <v>2.5</v>
      </c>
      <c r="U6" s="719">
        <v>2.5</v>
      </c>
      <c r="V6" s="719">
        <v>2.5</v>
      </c>
      <c r="W6" s="719">
        <v>2.5</v>
      </c>
      <c r="X6" s="719">
        <v>2.5</v>
      </c>
      <c r="Y6" s="719">
        <v>2.5</v>
      </c>
      <c r="Z6" s="373" t="s">
        <v>353</v>
      </c>
    </row>
    <row r="7" spans="1:26" ht="16.5" thickBot="1" x14ac:dyDescent="0.25">
      <c r="A7" s="307">
        <v>1</v>
      </c>
      <c r="B7" s="308">
        <v>2</v>
      </c>
      <c r="C7" s="308">
        <v>3</v>
      </c>
      <c r="D7" s="308">
        <v>4</v>
      </c>
      <c r="E7" s="309">
        <v>5</v>
      </c>
      <c r="F7" s="310">
        <v>6</v>
      </c>
      <c r="G7" s="527">
        <f>F7+1</f>
        <v>7</v>
      </c>
      <c r="H7" s="527">
        <f t="shared" ref="H7:P7" si="3">G7+1</f>
        <v>8</v>
      </c>
      <c r="I7" s="527">
        <f t="shared" si="3"/>
        <v>9</v>
      </c>
      <c r="J7" s="527">
        <f t="shared" si="3"/>
        <v>10</v>
      </c>
      <c r="K7" s="527">
        <f t="shared" si="3"/>
        <v>11</v>
      </c>
      <c r="L7" s="527">
        <f t="shared" si="3"/>
        <v>12</v>
      </c>
      <c r="M7" s="527">
        <f t="shared" si="3"/>
        <v>13</v>
      </c>
      <c r="N7" s="527">
        <f t="shared" si="3"/>
        <v>14</v>
      </c>
      <c r="O7" s="527">
        <f t="shared" si="3"/>
        <v>15</v>
      </c>
      <c r="P7" s="527">
        <f t="shared" si="3"/>
        <v>16</v>
      </c>
      <c r="Q7" s="725">
        <f t="shared" ref="Q7:Y7" si="4">P7+1</f>
        <v>17</v>
      </c>
      <c r="R7" s="725">
        <f t="shared" ref="R7" si="5">Q7+1</f>
        <v>18</v>
      </c>
      <c r="S7" s="725">
        <f t="shared" si="4"/>
        <v>19</v>
      </c>
      <c r="T7" s="725">
        <f t="shared" si="4"/>
        <v>20</v>
      </c>
      <c r="U7" s="725">
        <f t="shared" si="4"/>
        <v>21</v>
      </c>
      <c r="V7" s="725">
        <f t="shared" si="4"/>
        <v>22</v>
      </c>
      <c r="W7" s="725">
        <f t="shared" si="4"/>
        <v>23</v>
      </c>
      <c r="X7" s="725">
        <f t="shared" si="4"/>
        <v>24</v>
      </c>
      <c r="Y7" s="725">
        <f t="shared" si="4"/>
        <v>25</v>
      </c>
      <c r="Z7" s="373" t="s">
        <v>260</v>
      </c>
    </row>
    <row r="8" spans="1:26" ht="15.75" x14ac:dyDescent="0.2">
      <c r="A8" s="578" t="s">
        <v>77</v>
      </c>
      <c r="B8" s="569">
        <v>18</v>
      </c>
      <c r="C8" s="570">
        <v>21</v>
      </c>
      <c r="D8" s="570">
        <v>25</v>
      </c>
      <c r="E8" s="571">
        <v>27</v>
      </c>
      <c r="F8" s="562">
        <v>80</v>
      </c>
      <c r="G8" s="531" t="e">
        <f>G9-2</f>
        <v>#NUM!</v>
      </c>
      <c r="H8" s="721" t="e">
        <f>ROUND(H$6/6.2*$G8,2)</f>
        <v>#NUM!</v>
      </c>
      <c r="I8" s="722" t="e">
        <f t="shared" ref="I8:P27" si="6">ROUND(I$6/6.2*$G8,2)</f>
        <v>#NUM!</v>
      </c>
      <c r="J8" s="722" t="e">
        <f t="shared" si="6"/>
        <v>#NUM!</v>
      </c>
      <c r="K8" s="722" t="e">
        <f t="shared" si="6"/>
        <v>#NUM!</v>
      </c>
      <c r="L8" s="722" t="e">
        <f t="shared" si="6"/>
        <v>#NUM!</v>
      </c>
      <c r="M8" s="722" t="e">
        <f t="shared" si="6"/>
        <v>#NUM!</v>
      </c>
      <c r="N8" s="722" t="e">
        <f t="shared" si="6"/>
        <v>#NUM!</v>
      </c>
      <c r="O8" s="722" t="e">
        <f t="shared" si="6"/>
        <v>#NUM!</v>
      </c>
      <c r="P8" s="723" t="e">
        <f t="shared" si="6"/>
        <v>#NUM!</v>
      </c>
      <c r="Q8" s="726" t="e">
        <f>P8</f>
        <v>#NUM!</v>
      </c>
      <c r="R8" s="726" t="e">
        <f>Q8</f>
        <v>#NUM!</v>
      </c>
      <c r="S8" s="726" t="e">
        <f t="shared" ref="S8:T8" si="7">R8</f>
        <v>#NUM!</v>
      </c>
      <c r="T8" s="884" t="e">
        <f t="shared" si="7"/>
        <v>#NUM!</v>
      </c>
      <c r="U8" s="887">
        <v>2.5</v>
      </c>
      <c r="V8" s="891">
        <v>2.5</v>
      </c>
      <c r="W8" s="870">
        <f t="shared" ref="W8:Y8" si="8">V8</f>
        <v>2.5</v>
      </c>
      <c r="X8" s="870">
        <f t="shared" si="8"/>
        <v>2.5</v>
      </c>
      <c r="Y8" s="871">
        <f t="shared" si="8"/>
        <v>2.5</v>
      </c>
      <c r="Z8" s="517" t="s">
        <v>304</v>
      </c>
    </row>
    <row r="9" spans="1:26" ht="15.75" x14ac:dyDescent="0.2">
      <c r="A9" s="579" t="s">
        <v>78</v>
      </c>
      <c r="B9" s="572">
        <v>21</v>
      </c>
      <c r="C9" s="311">
        <v>23</v>
      </c>
      <c r="D9" s="311">
        <v>27</v>
      </c>
      <c r="E9" s="573">
        <v>29</v>
      </c>
      <c r="F9" s="563">
        <v>80</v>
      </c>
      <c r="G9" s="534" t="e">
        <f>ROUND((7.9425)-0.8617*LOG(KPA!$K$17*VLOOKUP("Änderungsfaktor",$H$80:$AG$80,$I$76,TRUE)),2)</f>
        <v>#NUM!</v>
      </c>
      <c r="H9" s="519" t="e">
        <f>ROUND(H$6/6.2*$G9,2)</f>
        <v>#NUM!</v>
      </c>
      <c r="I9" s="520" t="e">
        <f t="shared" si="6"/>
        <v>#NUM!</v>
      </c>
      <c r="J9" s="520" t="e">
        <f t="shared" si="6"/>
        <v>#NUM!</v>
      </c>
      <c r="K9" s="520" t="e">
        <f t="shared" si="6"/>
        <v>#NUM!</v>
      </c>
      <c r="L9" s="520" t="e">
        <f t="shared" si="6"/>
        <v>#NUM!</v>
      </c>
      <c r="M9" s="520" t="e">
        <f t="shared" si="6"/>
        <v>#NUM!</v>
      </c>
      <c r="N9" s="520" t="e">
        <f t="shared" si="6"/>
        <v>#NUM!</v>
      </c>
      <c r="O9" s="520" t="e">
        <f t="shared" si="6"/>
        <v>#NUM!</v>
      </c>
      <c r="P9" s="632" t="e">
        <f t="shared" si="6"/>
        <v>#NUM!</v>
      </c>
      <c r="Q9" s="726" t="e">
        <f t="shared" ref="Q9:T24" si="9">P9</f>
        <v>#NUM!</v>
      </c>
      <c r="R9" s="726" t="e">
        <f t="shared" si="9"/>
        <v>#NUM!</v>
      </c>
      <c r="S9" s="726" t="e">
        <f t="shared" si="9"/>
        <v>#NUM!</v>
      </c>
      <c r="T9" s="884" t="e">
        <f t="shared" si="9"/>
        <v>#NUM!</v>
      </c>
      <c r="U9" s="892">
        <v>3.5</v>
      </c>
      <c r="V9" s="868">
        <v>3.5</v>
      </c>
      <c r="W9" s="867">
        <f t="shared" ref="W9:Y24" si="10">V9</f>
        <v>3.5</v>
      </c>
      <c r="X9" s="867">
        <f t="shared" si="10"/>
        <v>3.5</v>
      </c>
      <c r="Y9" s="872">
        <f t="shared" si="10"/>
        <v>3.5</v>
      </c>
      <c r="Z9" s="517" t="s">
        <v>304</v>
      </c>
    </row>
    <row r="10" spans="1:26" ht="15.75" x14ac:dyDescent="0.2">
      <c r="A10" s="579" t="s">
        <v>167</v>
      </c>
      <c r="B10" s="572">
        <v>21</v>
      </c>
      <c r="C10" s="311">
        <v>23</v>
      </c>
      <c r="D10" s="311">
        <v>27</v>
      </c>
      <c r="E10" s="573">
        <v>29</v>
      </c>
      <c r="F10" s="563">
        <v>80</v>
      </c>
      <c r="G10" s="535" t="e">
        <f>G$9+0</f>
        <v>#NUM!</v>
      </c>
      <c r="H10" s="519" t="e">
        <f t="shared" ref="H10:P29" si="11">ROUND(H$6/6.2*$G10,2)</f>
        <v>#NUM!</v>
      </c>
      <c r="I10" s="520" t="e">
        <f t="shared" si="6"/>
        <v>#NUM!</v>
      </c>
      <c r="J10" s="520" t="e">
        <f t="shared" si="6"/>
        <v>#NUM!</v>
      </c>
      <c r="K10" s="520" t="e">
        <f t="shared" si="6"/>
        <v>#NUM!</v>
      </c>
      <c r="L10" s="520" t="e">
        <f t="shared" si="6"/>
        <v>#NUM!</v>
      </c>
      <c r="M10" s="520" t="e">
        <f t="shared" si="6"/>
        <v>#NUM!</v>
      </c>
      <c r="N10" s="520" t="e">
        <f t="shared" si="6"/>
        <v>#NUM!</v>
      </c>
      <c r="O10" s="520" t="e">
        <f>ROUND(O$6/6.2*$G10,2)</f>
        <v>#NUM!</v>
      </c>
      <c r="P10" s="632" t="e">
        <f>ROUND(P$6/6.2*$G10,2)</f>
        <v>#NUM!</v>
      </c>
      <c r="Q10" s="726" t="e">
        <f t="shared" si="9"/>
        <v>#NUM!</v>
      </c>
      <c r="R10" s="726" t="e">
        <f t="shared" si="9"/>
        <v>#NUM!</v>
      </c>
      <c r="S10" s="726" t="e">
        <f t="shared" si="9"/>
        <v>#NUM!</v>
      </c>
      <c r="T10" s="884" t="e">
        <f t="shared" si="9"/>
        <v>#NUM!</v>
      </c>
      <c r="U10" s="888">
        <f>U$9+0</f>
        <v>3.5</v>
      </c>
      <c r="V10" s="866">
        <f>V$9+0</f>
        <v>3.5</v>
      </c>
      <c r="W10" s="867">
        <f t="shared" si="10"/>
        <v>3.5</v>
      </c>
      <c r="X10" s="867">
        <f t="shared" si="10"/>
        <v>3.5</v>
      </c>
      <c r="Y10" s="872">
        <f t="shared" si="10"/>
        <v>3.5</v>
      </c>
      <c r="Z10" s="517" t="s">
        <v>304</v>
      </c>
    </row>
    <row r="11" spans="1:26" ht="15.75" x14ac:dyDescent="0.2">
      <c r="A11" s="579" t="s">
        <v>267</v>
      </c>
      <c r="B11" s="572">
        <v>21</v>
      </c>
      <c r="C11" s="311">
        <v>23</v>
      </c>
      <c r="D11" s="311">
        <v>27</v>
      </c>
      <c r="E11" s="573">
        <v>29</v>
      </c>
      <c r="F11" s="563">
        <v>80</v>
      </c>
      <c r="G11" s="523" t="e">
        <f>G$9-0.5</f>
        <v>#NUM!</v>
      </c>
      <c r="H11" s="519" t="e">
        <f t="shared" si="11"/>
        <v>#NUM!</v>
      </c>
      <c r="I11" s="520" t="e">
        <f t="shared" si="6"/>
        <v>#NUM!</v>
      </c>
      <c r="J11" s="520" t="e">
        <f t="shared" si="6"/>
        <v>#NUM!</v>
      </c>
      <c r="K11" s="520" t="e">
        <f t="shared" si="6"/>
        <v>#NUM!</v>
      </c>
      <c r="L11" s="520" t="e">
        <f t="shared" si="6"/>
        <v>#NUM!</v>
      </c>
      <c r="M11" s="520" t="e">
        <f t="shared" si="6"/>
        <v>#NUM!</v>
      </c>
      <c r="N11" s="520" t="e">
        <f t="shared" si="6"/>
        <v>#NUM!</v>
      </c>
      <c r="O11" s="520" t="e">
        <f t="shared" si="6"/>
        <v>#NUM!</v>
      </c>
      <c r="P11" s="632" t="e">
        <f t="shared" si="6"/>
        <v>#NUM!</v>
      </c>
      <c r="Q11" s="726" t="e">
        <f t="shared" si="9"/>
        <v>#NUM!</v>
      </c>
      <c r="R11" s="726" t="e">
        <f t="shared" si="9"/>
        <v>#NUM!</v>
      </c>
      <c r="S11" s="726" t="e">
        <f t="shared" si="9"/>
        <v>#NUM!</v>
      </c>
      <c r="T11" s="884" t="e">
        <f t="shared" si="9"/>
        <v>#NUM!</v>
      </c>
      <c r="U11" s="888">
        <f>U$9-0</f>
        <v>3.5</v>
      </c>
      <c r="V11" s="866">
        <f>V$9-0</f>
        <v>3.5</v>
      </c>
      <c r="W11" s="867">
        <f t="shared" si="10"/>
        <v>3.5</v>
      </c>
      <c r="X11" s="867">
        <f t="shared" si="10"/>
        <v>3.5</v>
      </c>
      <c r="Y11" s="872">
        <f t="shared" si="10"/>
        <v>3.5</v>
      </c>
      <c r="Z11" s="517" t="s">
        <v>304</v>
      </c>
    </row>
    <row r="12" spans="1:26" ht="15.75" x14ac:dyDescent="0.2">
      <c r="A12" s="579" t="s">
        <v>254</v>
      </c>
      <c r="B12" s="572">
        <v>21</v>
      </c>
      <c r="C12" s="311">
        <v>22</v>
      </c>
      <c r="D12" s="311">
        <v>24</v>
      </c>
      <c r="E12" s="573">
        <v>26</v>
      </c>
      <c r="F12" s="563">
        <v>80</v>
      </c>
      <c r="G12" s="535" t="e">
        <f>G$9+0.5</f>
        <v>#NUM!</v>
      </c>
      <c r="H12" s="519" t="e">
        <f t="shared" si="11"/>
        <v>#NUM!</v>
      </c>
      <c r="I12" s="520" t="e">
        <f t="shared" si="6"/>
        <v>#NUM!</v>
      </c>
      <c r="J12" s="520" t="e">
        <f t="shared" si="6"/>
        <v>#NUM!</v>
      </c>
      <c r="K12" s="520" t="e">
        <f t="shared" si="6"/>
        <v>#NUM!</v>
      </c>
      <c r="L12" s="520" t="e">
        <f t="shared" si="6"/>
        <v>#NUM!</v>
      </c>
      <c r="M12" s="520" t="e">
        <f t="shared" si="6"/>
        <v>#NUM!</v>
      </c>
      <c r="N12" s="520" t="e">
        <f t="shared" si="6"/>
        <v>#NUM!</v>
      </c>
      <c r="O12" s="520" t="e">
        <f t="shared" si="6"/>
        <v>#NUM!</v>
      </c>
      <c r="P12" s="632" t="e">
        <f t="shared" si="6"/>
        <v>#NUM!</v>
      </c>
      <c r="Q12" s="726" t="e">
        <f t="shared" si="9"/>
        <v>#NUM!</v>
      </c>
      <c r="R12" s="726" t="e">
        <f t="shared" si="9"/>
        <v>#NUM!</v>
      </c>
      <c r="S12" s="726" t="e">
        <f t="shared" si="9"/>
        <v>#NUM!</v>
      </c>
      <c r="T12" s="884" t="e">
        <f t="shared" si="9"/>
        <v>#NUM!</v>
      </c>
      <c r="U12" s="888">
        <v>4.5</v>
      </c>
      <c r="V12" s="866">
        <v>4.5</v>
      </c>
      <c r="W12" s="867">
        <f t="shared" si="10"/>
        <v>4.5</v>
      </c>
      <c r="X12" s="867">
        <f t="shared" si="10"/>
        <v>4.5</v>
      </c>
      <c r="Y12" s="872">
        <f t="shared" si="10"/>
        <v>4.5</v>
      </c>
      <c r="Z12" s="517" t="s">
        <v>304</v>
      </c>
    </row>
    <row r="13" spans="1:26" ht="15.75" x14ac:dyDescent="0.2">
      <c r="A13" s="579" t="s">
        <v>255</v>
      </c>
      <c r="B13" s="572">
        <v>21</v>
      </c>
      <c r="C13" s="311">
        <v>22</v>
      </c>
      <c r="D13" s="311">
        <v>24</v>
      </c>
      <c r="E13" s="573">
        <v>26</v>
      </c>
      <c r="F13" s="563">
        <v>80</v>
      </c>
      <c r="G13" s="535" t="e">
        <f>G$9+0.5</f>
        <v>#NUM!</v>
      </c>
      <c r="H13" s="519" t="e">
        <f t="shared" si="11"/>
        <v>#NUM!</v>
      </c>
      <c r="I13" s="520" t="e">
        <f t="shared" si="6"/>
        <v>#NUM!</v>
      </c>
      <c r="J13" s="520" t="e">
        <f t="shared" si="6"/>
        <v>#NUM!</v>
      </c>
      <c r="K13" s="520" t="e">
        <f t="shared" si="6"/>
        <v>#NUM!</v>
      </c>
      <c r="L13" s="520" t="e">
        <f t="shared" si="6"/>
        <v>#NUM!</v>
      </c>
      <c r="M13" s="520" t="e">
        <f t="shared" si="6"/>
        <v>#NUM!</v>
      </c>
      <c r="N13" s="520" t="e">
        <f t="shared" si="6"/>
        <v>#NUM!</v>
      </c>
      <c r="O13" s="520" t="e">
        <f t="shared" si="6"/>
        <v>#NUM!</v>
      </c>
      <c r="P13" s="632" t="e">
        <f t="shared" si="6"/>
        <v>#NUM!</v>
      </c>
      <c r="Q13" s="726" t="e">
        <f t="shared" si="9"/>
        <v>#NUM!</v>
      </c>
      <c r="R13" s="726" t="e">
        <f t="shared" si="9"/>
        <v>#NUM!</v>
      </c>
      <c r="S13" s="726" t="e">
        <f t="shared" si="9"/>
        <v>#NUM!</v>
      </c>
      <c r="T13" s="884" t="e">
        <f t="shared" si="9"/>
        <v>#NUM!</v>
      </c>
      <c r="U13" s="888">
        <f t="shared" ref="U13:V15" si="12">U$9+1</f>
        <v>4.5</v>
      </c>
      <c r="V13" s="866">
        <f t="shared" si="12"/>
        <v>4.5</v>
      </c>
      <c r="W13" s="867">
        <f t="shared" si="10"/>
        <v>4.5</v>
      </c>
      <c r="X13" s="867">
        <f t="shared" si="10"/>
        <v>4.5</v>
      </c>
      <c r="Y13" s="872">
        <f t="shared" si="10"/>
        <v>4.5</v>
      </c>
      <c r="Z13" s="517" t="s">
        <v>304</v>
      </c>
    </row>
    <row r="14" spans="1:26" ht="15.75" x14ac:dyDescent="0.2">
      <c r="A14" s="579" t="s">
        <v>256</v>
      </c>
      <c r="B14" s="572">
        <v>21</v>
      </c>
      <c r="C14" s="311">
        <v>22</v>
      </c>
      <c r="D14" s="311">
        <v>24</v>
      </c>
      <c r="E14" s="573">
        <v>26</v>
      </c>
      <c r="F14" s="563">
        <v>80</v>
      </c>
      <c r="G14" s="535" t="e">
        <f>G$9+1</f>
        <v>#NUM!</v>
      </c>
      <c r="H14" s="519" t="e">
        <f t="shared" si="11"/>
        <v>#NUM!</v>
      </c>
      <c r="I14" s="520" t="e">
        <f t="shared" si="6"/>
        <v>#NUM!</v>
      </c>
      <c r="J14" s="520" t="e">
        <f t="shared" si="6"/>
        <v>#NUM!</v>
      </c>
      <c r="K14" s="520" t="e">
        <f t="shared" si="6"/>
        <v>#NUM!</v>
      </c>
      <c r="L14" s="520" t="e">
        <f t="shared" si="6"/>
        <v>#NUM!</v>
      </c>
      <c r="M14" s="520" t="e">
        <f t="shared" si="6"/>
        <v>#NUM!</v>
      </c>
      <c r="N14" s="520" t="e">
        <f t="shared" si="6"/>
        <v>#NUM!</v>
      </c>
      <c r="O14" s="520" t="e">
        <f t="shared" si="6"/>
        <v>#NUM!</v>
      </c>
      <c r="P14" s="632" t="e">
        <f t="shared" si="6"/>
        <v>#NUM!</v>
      </c>
      <c r="Q14" s="726" t="e">
        <f t="shared" si="9"/>
        <v>#NUM!</v>
      </c>
      <c r="R14" s="726" t="e">
        <f t="shared" si="9"/>
        <v>#NUM!</v>
      </c>
      <c r="S14" s="726" t="e">
        <f t="shared" si="9"/>
        <v>#NUM!</v>
      </c>
      <c r="T14" s="884" t="e">
        <f t="shared" si="9"/>
        <v>#NUM!</v>
      </c>
      <c r="U14" s="888">
        <f t="shared" si="12"/>
        <v>4.5</v>
      </c>
      <c r="V14" s="866">
        <f t="shared" si="12"/>
        <v>4.5</v>
      </c>
      <c r="W14" s="867">
        <f t="shared" si="10"/>
        <v>4.5</v>
      </c>
      <c r="X14" s="867">
        <f t="shared" si="10"/>
        <v>4.5</v>
      </c>
      <c r="Y14" s="872">
        <f t="shared" si="10"/>
        <v>4.5</v>
      </c>
      <c r="Z14" s="517" t="s">
        <v>304</v>
      </c>
    </row>
    <row r="15" spans="1:26" ht="15.75" x14ac:dyDescent="0.2">
      <c r="A15" s="579" t="s">
        <v>257</v>
      </c>
      <c r="B15" s="572">
        <v>21</v>
      </c>
      <c r="C15" s="311">
        <v>22</v>
      </c>
      <c r="D15" s="311">
        <v>24</v>
      </c>
      <c r="E15" s="573">
        <v>26</v>
      </c>
      <c r="F15" s="563">
        <v>80</v>
      </c>
      <c r="G15" s="535" t="e">
        <f>G$9+1</f>
        <v>#NUM!</v>
      </c>
      <c r="H15" s="519" t="e">
        <f t="shared" si="11"/>
        <v>#NUM!</v>
      </c>
      <c r="I15" s="520" t="e">
        <f t="shared" si="6"/>
        <v>#NUM!</v>
      </c>
      <c r="J15" s="520" t="e">
        <f t="shared" si="6"/>
        <v>#NUM!</v>
      </c>
      <c r="K15" s="520" t="e">
        <f t="shared" si="6"/>
        <v>#NUM!</v>
      </c>
      <c r="L15" s="520" t="e">
        <f t="shared" si="6"/>
        <v>#NUM!</v>
      </c>
      <c r="M15" s="520" t="e">
        <f t="shared" si="6"/>
        <v>#NUM!</v>
      </c>
      <c r="N15" s="520" t="e">
        <f t="shared" si="6"/>
        <v>#NUM!</v>
      </c>
      <c r="O15" s="520" t="e">
        <f t="shared" si="6"/>
        <v>#NUM!</v>
      </c>
      <c r="P15" s="632" t="e">
        <f t="shared" si="6"/>
        <v>#NUM!</v>
      </c>
      <c r="Q15" s="726" t="e">
        <f t="shared" si="9"/>
        <v>#NUM!</v>
      </c>
      <c r="R15" s="726" t="e">
        <f t="shared" si="9"/>
        <v>#NUM!</v>
      </c>
      <c r="S15" s="726" t="e">
        <f t="shared" si="9"/>
        <v>#NUM!</v>
      </c>
      <c r="T15" s="884" t="e">
        <f t="shared" si="9"/>
        <v>#NUM!</v>
      </c>
      <c r="U15" s="888">
        <f t="shared" si="12"/>
        <v>4.5</v>
      </c>
      <c r="V15" s="866">
        <f t="shared" si="12"/>
        <v>4.5</v>
      </c>
      <c r="W15" s="867">
        <f t="shared" si="10"/>
        <v>4.5</v>
      </c>
      <c r="X15" s="867">
        <f t="shared" si="10"/>
        <v>4.5</v>
      </c>
      <c r="Y15" s="872">
        <f t="shared" si="10"/>
        <v>4.5</v>
      </c>
      <c r="Z15" s="517" t="s">
        <v>304</v>
      </c>
    </row>
    <row r="16" spans="1:26" ht="15.75" x14ac:dyDescent="0.2">
      <c r="A16" s="579" t="s">
        <v>156</v>
      </c>
      <c r="B16" s="572">
        <v>18</v>
      </c>
      <c r="C16" s="311">
        <v>20</v>
      </c>
      <c r="D16" s="311">
        <v>22</v>
      </c>
      <c r="E16" s="573">
        <v>23</v>
      </c>
      <c r="F16" s="563">
        <v>70</v>
      </c>
      <c r="G16" s="535" t="e">
        <f>G$9+1.5</f>
        <v>#NUM!</v>
      </c>
      <c r="H16" s="519" t="e">
        <f t="shared" si="11"/>
        <v>#NUM!</v>
      </c>
      <c r="I16" s="520" t="e">
        <f t="shared" si="6"/>
        <v>#NUM!</v>
      </c>
      <c r="J16" s="520" t="e">
        <f t="shared" si="6"/>
        <v>#NUM!</v>
      </c>
      <c r="K16" s="520" t="e">
        <f t="shared" si="6"/>
        <v>#NUM!</v>
      </c>
      <c r="L16" s="520" t="e">
        <f t="shared" si="6"/>
        <v>#NUM!</v>
      </c>
      <c r="M16" s="520" t="e">
        <f t="shared" si="6"/>
        <v>#NUM!</v>
      </c>
      <c r="N16" s="520" t="e">
        <f t="shared" si="6"/>
        <v>#NUM!</v>
      </c>
      <c r="O16" s="520" t="e">
        <f t="shared" si="6"/>
        <v>#NUM!</v>
      </c>
      <c r="P16" s="632" t="e">
        <f t="shared" si="6"/>
        <v>#NUM!</v>
      </c>
      <c r="Q16" s="726" t="e">
        <f t="shared" si="9"/>
        <v>#NUM!</v>
      </c>
      <c r="R16" s="726" t="e">
        <f t="shared" si="9"/>
        <v>#NUM!</v>
      </c>
      <c r="S16" s="726" t="e">
        <f t="shared" si="9"/>
        <v>#NUM!</v>
      </c>
      <c r="T16" s="884" t="e">
        <f t="shared" si="9"/>
        <v>#NUM!</v>
      </c>
      <c r="U16" s="888">
        <f t="shared" ref="U16:V23" si="13">U$9+2.5</f>
        <v>6</v>
      </c>
      <c r="V16" s="866">
        <f t="shared" si="13"/>
        <v>6</v>
      </c>
      <c r="W16" s="867">
        <f t="shared" si="10"/>
        <v>6</v>
      </c>
      <c r="X16" s="867">
        <f t="shared" si="10"/>
        <v>6</v>
      </c>
      <c r="Y16" s="872">
        <f t="shared" si="10"/>
        <v>6</v>
      </c>
      <c r="Z16" s="517" t="s">
        <v>304</v>
      </c>
    </row>
    <row r="17" spans="1:26" ht="15.75" x14ac:dyDescent="0.2">
      <c r="A17" s="579" t="s">
        <v>163</v>
      </c>
      <c r="B17" s="572">
        <v>18</v>
      </c>
      <c r="C17" s="311">
        <v>20</v>
      </c>
      <c r="D17" s="311">
        <v>22</v>
      </c>
      <c r="E17" s="573">
        <v>23</v>
      </c>
      <c r="F17" s="563">
        <v>70</v>
      </c>
      <c r="G17" s="535" t="e">
        <f t="shared" ref="G17:G23" si="14">G$9+1.5</f>
        <v>#NUM!</v>
      </c>
      <c r="H17" s="519" t="e">
        <f t="shared" si="11"/>
        <v>#NUM!</v>
      </c>
      <c r="I17" s="520" t="e">
        <f t="shared" si="6"/>
        <v>#NUM!</v>
      </c>
      <c r="J17" s="520" t="e">
        <f t="shared" si="6"/>
        <v>#NUM!</v>
      </c>
      <c r="K17" s="520" t="e">
        <f t="shared" si="6"/>
        <v>#NUM!</v>
      </c>
      <c r="L17" s="520" t="e">
        <f t="shared" si="6"/>
        <v>#NUM!</v>
      </c>
      <c r="M17" s="520" t="e">
        <f t="shared" si="6"/>
        <v>#NUM!</v>
      </c>
      <c r="N17" s="520" t="e">
        <f t="shared" si="6"/>
        <v>#NUM!</v>
      </c>
      <c r="O17" s="520" t="e">
        <f t="shared" si="6"/>
        <v>#NUM!</v>
      </c>
      <c r="P17" s="632" t="e">
        <f t="shared" si="6"/>
        <v>#NUM!</v>
      </c>
      <c r="Q17" s="726" t="e">
        <f t="shared" si="9"/>
        <v>#NUM!</v>
      </c>
      <c r="R17" s="726" t="e">
        <f t="shared" si="9"/>
        <v>#NUM!</v>
      </c>
      <c r="S17" s="726" t="e">
        <f t="shared" si="9"/>
        <v>#NUM!</v>
      </c>
      <c r="T17" s="884" t="e">
        <f t="shared" si="9"/>
        <v>#NUM!</v>
      </c>
      <c r="U17" s="888">
        <f t="shared" si="13"/>
        <v>6</v>
      </c>
      <c r="V17" s="866">
        <f t="shared" si="13"/>
        <v>6</v>
      </c>
      <c r="W17" s="867">
        <f t="shared" si="10"/>
        <v>6</v>
      </c>
      <c r="X17" s="867">
        <f t="shared" si="10"/>
        <v>6</v>
      </c>
      <c r="Y17" s="872">
        <f t="shared" si="10"/>
        <v>6</v>
      </c>
      <c r="Z17" s="517" t="s">
        <v>304</v>
      </c>
    </row>
    <row r="18" spans="1:26" ht="15.75" x14ac:dyDescent="0.2">
      <c r="A18" s="579" t="s">
        <v>76</v>
      </c>
      <c r="B18" s="572">
        <v>18</v>
      </c>
      <c r="C18" s="311">
        <v>20</v>
      </c>
      <c r="D18" s="311">
        <v>22</v>
      </c>
      <c r="E18" s="573">
        <v>23</v>
      </c>
      <c r="F18" s="563">
        <v>70</v>
      </c>
      <c r="G18" s="535" t="e">
        <f t="shared" si="14"/>
        <v>#NUM!</v>
      </c>
      <c r="H18" s="519" t="e">
        <f t="shared" si="11"/>
        <v>#NUM!</v>
      </c>
      <c r="I18" s="520" t="e">
        <f t="shared" si="6"/>
        <v>#NUM!</v>
      </c>
      <c r="J18" s="520" t="e">
        <f t="shared" si="6"/>
        <v>#NUM!</v>
      </c>
      <c r="K18" s="520" t="e">
        <f t="shared" si="6"/>
        <v>#NUM!</v>
      </c>
      <c r="L18" s="520" t="e">
        <f t="shared" si="6"/>
        <v>#NUM!</v>
      </c>
      <c r="M18" s="520" t="e">
        <f t="shared" si="6"/>
        <v>#NUM!</v>
      </c>
      <c r="N18" s="520" t="e">
        <f t="shared" si="6"/>
        <v>#NUM!</v>
      </c>
      <c r="O18" s="520" t="e">
        <f t="shared" si="6"/>
        <v>#NUM!</v>
      </c>
      <c r="P18" s="632" t="e">
        <f t="shared" si="6"/>
        <v>#NUM!</v>
      </c>
      <c r="Q18" s="726" t="e">
        <f t="shared" si="9"/>
        <v>#NUM!</v>
      </c>
      <c r="R18" s="726" t="e">
        <f t="shared" si="9"/>
        <v>#NUM!</v>
      </c>
      <c r="S18" s="726" t="e">
        <f t="shared" si="9"/>
        <v>#NUM!</v>
      </c>
      <c r="T18" s="884" t="e">
        <f t="shared" si="9"/>
        <v>#NUM!</v>
      </c>
      <c r="U18" s="888">
        <f t="shared" si="13"/>
        <v>6</v>
      </c>
      <c r="V18" s="866">
        <f t="shared" si="13"/>
        <v>6</v>
      </c>
      <c r="W18" s="867">
        <f t="shared" si="10"/>
        <v>6</v>
      </c>
      <c r="X18" s="867">
        <f t="shared" si="10"/>
        <v>6</v>
      </c>
      <c r="Y18" s="872">
        <f t="shared" si="10"/>
        <v>6</v>
      </c>
      <c r="Z18" s="517" t="s">
        <v>304</v>
      </c>
    </row>
    <row r="19" spans="1:26" ht="16.5" thickBot="1" x14ac:dyDescent="0.25">
      <c r="A19" s="580" t="s">
        <v>164</v>
      </c>
      <c r="B19" s="574">
        <v>18</v>
      </c>
      <c r="C19" s="575">
        <v>20</v>
      </c>
      <c r="D19" s="575">
        <v>22</v>
      </c>
      <c r="E19" s="576">
        <v>23</v>
      </c>
      <c r="F19" s="564">
        <v>70</v>
      </c>
      <c r="G19" s="536" t="e">
        <f t="shared" si="14"/>
        <v>#NUM!</v>
      </c>
      <c r="H19" s="537" t="e">
        <f t="shared" si="11"/>
        <v>#NUM!</v>
      </c>
      <c r="I19" s="538" t="e">
        <f t="shared" si="6"/>
        <v>#NUM!</v>
      </c>
      <c r="J19" s="538" t="e">
        <f t="shared" si="6"/>
        <v>#NUM!</v>
      </c>
      <c r="K19" s="538" t="e">
        <f t="shared" si="6"/>
        <v>#NUM!</v>
      </c>
      <c r="L19" s="538" t="e">
        <f t="shared" si="6"/>
        <v>#NUM!</v>
      </c>
      <c r="M19" s="538" t="e">
        <f t="shared" si="6"/>
        <v>#NUM!</v>
      </c>
      <c r="N19" s="538" t="e">
        <f t="shared" si="6"/>
        <v>#NUM!</v>
      </c>
      <c r="O19" s="538" t="e">
        <f t="shared" si="6"/>
        <v>#NUM!</v>
      </c>
      <c r="P19" s="634" t="e">
        <f t="shared" si="6"/>
        <v>#NUM!</v>
      </c>
      <c r="Q19" s="727" t="e">
        <f t="shared" si="9"/>
        <v>#NUM!</v>
      </c>
      <c r="R19" s="727" t="e">
        <f t="shared" si="9"/>
        <v>#NUM!</v>
      </c>
      <c r="S19" s="727" t="e">
        <f t="shared" si="9"/>
        <v>#NUM!</v>
      </c>
      <c r="T19" s="890" t="e">
        <f t="shared" si="9"/>
        <v>#NUM!</v>
      </c>
      <c r="U19" s="893">
        <f t="shared" si="13"/>
        <v>6</v>
      </c>
      <c r="V19" s="886">
        <f t="shared" si="13"/>
        <v>6</v>
      </c>
      <c r="W19" s="869">
        <f t="shared" si="10"/>
        <v>6</v>
      </c>
      <c r="X19" s="869">
        <f t="shared" si="10"/>
        <v>6</v>
      </c>
      <c r="Y19" s="876">
        <f t="shared" si="10"/>
        <v>6</v>
      </c>
      <c r="Z19" s="517" t="s">
        <v>304</v>
      </c>
    </row>
    <row r="20" spans="1:26" ht="15.75" x14ac:dyDescent="0.2">
      <c r="A20" s="579" t="s">
        <v>349</v>
      </c>
      <c r="B20" s="572">
        <v>18</v>
      </c>
      <c r="C20" s="311">
        <v>20</v>
      </c>
      <c r="D20" s="311">
        <v>22</v>
      </c>
      <c r="E20" s="573">
        <v>23</v>
      </c>
      <c r="F20" s="563">
        <v>70</v>
      </c>
      <c r="G20" s="535" t="e">
        <f>G$9+1.5</f>
        <v>#NUM!</v>
      </c>
      <c r="H20" s="519" t="e">
        <f t="shared" si="11"/>
        <v>#NUM!</v>
      </c>
      <c r="I20" s="520" t="e">
        <f t="shared" si="6"/>
        <v>#NUM!</v>
      </c>
      <c r="J20" s="520" t="e">
        <f t="shared" si="6"/>
        <v>#NUM!</v>
      </c>
      <c r="K20" s="520" t="e">
        <f t="shared" si="6"/>
        <v>#NUM!</v>
      </c>
      <c r="L20" s="520" t="e">
        <f t="shared" si="6"/>
        <v>#NUM!</v>
      </c>
      <c r="M20" s="520" t="e">
        <f t="shared" si="6"/>
        <v>#NUM!</v>
      </c>
      <c r="N20" s="520" t="e">
        <f t="shared" si="6"/>
        <v>#NUM!</v>
      </c>
      <c r="O20" s="520" t="e">
        <f t="shared" si="6"/>
        <v>#NUM!</v>
      </c>
      <c r="P20" s="632" t="e">
        <f t="shared" si="6"/>
        <v>#NUM!</v>
      </c>
      <c r="Q20" s="728" t="e">
        <f t="shared" si="9"/>
        <v>#NUM!</v>
      </c>
      <c r="R20" s="729" t="e">
        <f t="shared" si="9"/>
        <v>#NUM!</v>
      </c>
      <c r="S20" s="729" t="e">
        <f t="shared" si="9"/>
        <v>#NUM!</v>
      </c>
      <c r="T20" s="883" t="e">
        <f t="shared" si="9"/>
        <v>#NUM!</v>
      </c>
      <c r="U20" s="887">
        <f t="shared" si="13"/>
        <v>6</v>
      </c>
      <c r="V20" s="870">
        <f t="shared" si="13"/>
        <v>6</v>
      </c>
      <c r="W20" s="870">
        <f t="shared" si="10"/>
        <v>6</v>
      </c>
      <c r="X20" s="870">
        <f t="shared" si="10"/>
        <v>6</v>
      </c>
      <c r="Y20" s="871">
        <f t="shared" si="10"/>
        <v>6</v>
      </c>
      <c r="Z20" s="517" t="s">
        <v>304</v>
      </c>
    </row>
    <row r="21" spans="1:26" ht="16.5" thickBot="1" x14ac:dyDescent="0.25">
      <c r="A21" s="580" t="s">
        <v>350</v>
      </c>
      <c r="B21" s="574">
        <v>18</v>
      </c>
      <c r="C21" s="575">
        <v>20</v>
      </c>
      <c r="D21" s="575">
        <v>22</v>
      </c>
      <c r="E21" s="576">
        <v>23</v>
      </c>
      <c r="F21" s="564">
        <v>70</v>
      </c>
      <c r="G21" s="535" t="e">
        <f t="shared" si="14"/>
        <v>#NUM!</v>
      </c>
      <c r="H21" s="519" t="e">
        <f t="shared" si="11"/>
        <v>#NUM!</v>
      </c>
      <c r="I21" s="520" t="e">
        <f t="shared" si="6"/>
        <v>#NUM!</v>
      </c>
      <c r="J21" s="520" t="e">
        <f t="shared" si="6"/>
        <v>#NUM!</v>
      </c>
      <c r="K21" s="520" t="e">
        <f t="shared" si="6"/>
        <v>#NUM!</v>
      </c>
      <c r="L21" s="520" t="e">
        <f t="shared" si="6"/>
        <v>#NUM!</v>
      </c>
      <c r="M21" s="520" t="e">
        <f t="shared" si="6"/>
        <v>#NUM!</v>
      </c>
      <c r="N21" s="520" t="e">
        <f t="shared" si="6"/>
        <v>#NUM!</v>
      </c>
      <c r="O21" s="520" t="e">
        <f t="shared" si="6"/>
        <v>#NUM!</v>
      </c>
      <c r="P21" s="632" t="e">
        <f t="shared" si="6"/>
        <v>#NUM!</v>
      </c>
      <c r="Q21" s="724" t="e">
        <f t="shared" si="9"/>
        <v>#NUM!</v>
      </c>
      <c r="R21" s="726" t="e">
        <f t="shared" si="9"/>
        <v>#NUM!</v>
      </c>
      <c r="S21" s="726" t="e">
        <f t="shared" si="9"/>
        <v>#NUM!</v>
      </c>
      <c r="T21" s="884" t="e">
        <f t="shared" si="9"/>
        <v>#NUM!</v>
      </c>
      <c r="U21" s="888">
        <f t="shared" si="13"/>
        <v>6</v>
      </c>
      <c r="V21" s="867">
        <f t="shared" si="13"/>
        <v>6</v>
      </c>
      <c r="W21" s="867">
        <f t="shared" si="10"/>
        <v>6</v>
      </c>
      <c r="X21" s="867">
        <f t="shared" si="10"/>
        <v>6</v>
      </c>
      <c r="Y21" s="872">
        <f t="shared" si="10"/>
        <v>6</v>
      </c>
      <c r="Z21" s="517" t="s">
        <v>304</v>
      </c>
    </row>
    <row r="22" spans="1:26" ht="25.5" x14ac:dyDescent="0.2">
      <c r="A22" s="579" t="s">
        <v>351</v>
      </c>
      <c r="B22" s="572">
        <v>18</v>
      </c>
      <c r="C22" s="311">
        <v>20</v>
      </c>
      <c r="D22" s="311">
        <v>22</v>
      </c>
      <c r="E22" s="573">
        <v>23</v>
      </c>
      <c r="F22" s="563">
        <v>70</v>
      </c>
      <c r="G22" s="535" t="e">
        <f t="shared" si="14"/>
        <v>#NUM!</v>
      </c>
      <c r="H22" s="519" t="e">
        <f t="shared" si="11"/>
        <v>#NUM!</v>
      </c>
      <c r="I22" s="520" t="e">
        <f t="shared" si="6"/>
        <v>#NUM!</v>
      </c>
      <c r="J22" s="520" t="e">
        <f t="shared" si="6"/>
        <v>#NUM!</v>
      </c>
      <c r="K22" s="520" t="e">
        <f t="shared" si="6"/>
        <v>#NUM!</v>
      </c>
      <c r="L22" s="520" t="e">
        <f t="shared" si="6"/>
        <v>#NUM!</v>
      </c>
      <c r="M22" s="520" t="e">
        <f t="shared" si="6"/>
        <v>#NUM!</v>
      </c>
      <c r="N22" s="520" t="e">
        <f t="shared" si="6"/>
        <v>#NUM!</v>
      </c>
      <c r="O22" s="520" t="e">
        <f t="shared" si="6"/>
        <v>#NUM!</v>
      </c>
      <c r="P22" s="632" t="e">
        <f t="shared" si="6"/>
        <v>#NUM!</v>
      </c>
      <c r="Q22" s="724" t="e">
        <f t="shared" si="9"/>
        <v>#NUM!</v>
      </c>
      <c r="R22" s="726" t="e">
        <f t="shared" si="9"/>
        <v>#NUM!</v>
      </c>
      <c r="S22" s="726" t="e">
        <f t="shared" si="9"/>
        <v>#NUM!</v>
      </c>
      <c r="T22" s="884" t="e">
        <f t="shared" si="9"/>
        <v>#NUM!</v>
      </c>
      <c r="U22" s="888">
        <f t="shared" si="13"/>
        <v>6</v>
      </c>
      <c r="V22" s="867">
        <f t="shared" si="13"/>
        <v>6</v>
      </c>
      <c r="W22" s="867">
        <f t="shared" si="10"/>
        <v>6</v>
      </c>
      <c r="X22" s="867">
        <f t="shared" si="10"/>
        <v>6</v>
      </c>
      <c r="Y22" s="872">
        <f t="shared" si="10"/>
        <v>6</v>
      </c>
      <c r="Z22" s="517" t="s">
        <v>304</v>
      </c>
    </row>
    <row r="23" spans="1:26" ht="26.25" thickBot="1" x14ac:dyDescent="0.25">
      <c r="A23" s="579" t="s">
        <v>352</v>
      </c>
      <c r="B23" s="572">
        <v>18</v>
      </c>
      <c r="C23" s="311">
        <v>20</v>
      </c>
      <c r="D23" s="311">
        <v>22</v>
      </c>
      <c r="E23" s="573">
        <v>23</v>
      </c>
      <c r="F23" s="563">
        <v>70</v>
      </c>
      <c r="G23" s="536" t="e">
        <f t="shared" si="14"/>
        <v>#NUM!</v>
      </c>
      <c r="H23" s="537" t="e">
        <f t="shared" si="11"/>
        <v>#NUM!</v>
      </c>
      <c r="I23" s="538" t="e">
        <f t="shared" si="6"/>
        <v>#NUM!</v>
      </c>
      <c r="J23" s="538" t="e">
        <f t="shared" si="6"/>
        <v>#NUM!</v>
      </c>
      <c r="K23" s="538" t="e">
        <f t="shared" si="6"/>
        <v>#NUM!</v>
      </c>
      <c r="L23" s="538" t="e">
        <f t="shared" si="6"/>
        <v>#NUM!</v>
      </c>
      <c r="M23" s="538" t="e">
        <f t="shared" si="6"/>
        <v>#NUM!</v>
      </c>
      <c r="N23" s="538" t="e">
        <f t="shared" si="6"/>
        <v>#NUM!</v>
      </c>
      <c r="O23" s="538" t="e">
        <f t="shared" si="6"/>
        <v>#NUM!</v>
      </c>
      <c r="P23" s="634" t="e">
        <f t="shared" si="6"/>
        <v>#NUM!</v>
      </c>
      <c r="Q23" s="730" t="e">
        <f t="shared" si="9"/>
        <v>#NUM!</v>
      </c>
      <c r="R23" s="731" t="e">
        <f t="shared" si="9"/>
        <v>#NUM!</v>
      </c>
      <c r="S23" s="731" t="e">
        <f t="shared" si="9"/>
        <v>#NUM!</v>
      </c>
      <c r="T23" s="885" t="e">
        <f t="shared" si="9"/>
        <v>#NUM!</v>
      </c>
      <c r="U23" s="889">
        <f t="shared" si="13"/>
        <v>6</v>
      </c>
      <c r="V23" s="873">
        <f t="shared" si="13"/>
        <v>6</v>
      </c>
      <c r="W23" s="873">
        <f t="shared" si="10"/>
        <v>6</v>
      </c>
      <c r="X23" s="873">
        <f t="shared" si="10"/>
        <v>6</v>
      </c>
      <c r="Y23" s="874">
        <f t="shared" si="10"/>
        <v>6</v>
      </c>
      <c r="Z23" s="517" t="s">
        <v>304</v>
      </c>
    </row>
    <row r="24" spans="1:26" ht="15.75" x14ac:dyDescent="0.2">
      <c r="A24" s="566" t="s">
        <v>268</v>
      </c>
      <c r="B24" s="569">
        <v>18</v>
      </c>
      <c r="C24" s="570">
        <v>21</v>
      </c>
      <c r="D24" s="570">
        <v>25</v>
      </c>
      <c r="E24" s="571">
        <v>27</v>
      </c>
      <c r="F24" s="565">
        <v>80</v>
      </c>
      <c r="G24" s="531" t="e">
        <f>G$9-2</f>
        <v>#NUM!</v>
      </c>
      <c r="H24" s="532" t="e">
        <f t="shared" si="11"/>
        <v>#NUM!</v>
      </c>
      <c r="I24" s="533" t="e">
        <f t="shared" si="6"/>
        <v>#NUM!</v>
      </c>
      <c r="J24" s="533" t="e">
        <f t="shared" si="6"/>
        <v>#NUM!</v>
      </c>
      <c r="K24" s="533" t="e">
        <f t="shared" si="6"/>
        <v>#NUM!</v>
      </c>
      <c r="L24" s="533" t="e">
        <f t="shared" si="6"/>
        <v>#NUM!</v>
      </c>
      <c r="M24" s="533" t="e">
        <f t="shared" si="6"/>
        <v>#NUM!</v>
      </c>
      <c r="N24" s="533" t="e">
        <f t="shared" si="6"/>
        <v>#NUM!</v>
      </c>
      <c r="O24" s="533" t="e">
        <f t="shared" si="6"/>
        <v>#NUM!</v>
      </c>
      <c r="P24" s="631" t="e">
        <f t="shared" si="6"/>
        <v>#NUM!</v>
      </c>
      <c r="Q24" s="749" t="e">
        <f>P24</f>
        <v>#NUM!</v>
      </c>
      <c r="R24" s="750" t="e">
        <f t="shared" si="9"/>
        <v>#NUM!</v>
      </c>
      <c r="S24" s="750" t="e">
        <f t="shared" si="9"/>
        <v>#NUM!</v>
      </c>
      <c r="T24" s="755" t="e">
        <f t="shared" si="9"/>
        <v>#NUM!</v>
      </c>
      <c r="U24" s="863">
        <f>U$8</f>
        <v>2.5</v>
      </c>
      <c r="V24" s="864">
        <f>V$8</f>
        <v>2.5</v>
      </c>
      <c r="W24" s="864">
        <f>V24</f>
        <v>2.5</v>
      </c>
      <c r="X24" s="864">
        <f t="shared" si="10"/>
        <v>2.5</v>
      </c>
      <c r="Y24" s="865">
        <f t="shared" si="10"/>
        <v>2.5</v>
      </c>
      <c r="Z24" s="517" t="s">
        <v>304</v>
      </c>
    </row>
    <row r="25" spans="1:26" ht="15.75" x14ac:dyDescent="0.2">
      <c r="A25" s="567" t="s">
        <v>269</v>
      </c>
      <c r="B25" s="572">
        <v>18</v>
      </c>
      <c r="C25" s="311">
        <v>21</v>
      </c>
      <c r="D25" s="311">
        <v>25</v>
      </c>
      <c r="E25" s="573">
        <v>27</v>
      </c>
      <c r="F25" s="320">
        <v>80</v>
      </c>
      <c r="G25" s="523" t="e">
        <f t="shared" ref="G25:G71" si="15">G$9-2</f>
        <v>#NUM!</v>
      </c>
      <c r="H25" s="522" t="e">
        <f t="shared" si="11"/>
        <v>#NUM!</v>
      </c>
      <c r="I25" s="521" t="e">
        <f t="shared" si="6"/>
        <v>#NUM!</v>
      </c>
      <c r="J25" s="521" t="e">
        <f t="shared" si="6"/>
        <v>#NUM!</v>
      </c>
      <c r="K25" s="521" t="e">
        <f t="shared" si="6"/>
        <v>#NUM!</v>
      </c>
      <c r="L25" s="521" t="e">
        <f t="shared" si="6"/>
        <v>#NUM!</v>
      </c>
      <c r="M25" s="521" t="e">
        <f t="shared" si="6"/>
        <v>#NUM!</v>
      </c>
      <c r="N25" s="521" t="e">
        <f t="shared" si="6"/>
        <v>#NUM!</v>
      </c>
      <c r="O25" s="521" t="e">
        <f t="shared" si="6"/>
        <v>#NUM!</v>
      </c>
      <c r="P25" s="633" t="e">
        <f t="shared" si="6"/>
        <v>#NUM!</v>
      </c>
      <c r="Q25" s="751" t="e">
        <f t="shared" ref="Q25:T71" si="16">P25</f>
        <v>#NUM!</v>
      </c>
      <c r="R25" s="752" t="e">
        <f t="shared" si="16"/>
        <v>#NUM!</v>
      </c>
      <c r="S25" s="752" t="e">
        <f t="shared" si="16"/>
        <v>#NUM!</v>
      </c>
      <c r="T25" s="756" t="e">
        <f t="shared" si="16"/>
        <v>#NUM!</v>
      </c>
      <c r="U25" s="878">
        <f t="shared" ref="U25:V71" si="17">U$8</f>
        <v>2.5</v>
      </c>
      <c r="V25" s="877">
        <f t="shared" si="17"/>
        <v>2.5</v>
      </c>
      <c r="W25" s="877">
        <f t="shared" ref="W25:Y25" si="18">V25</f>
        <v>2.5</v>
      </c>
      <c r="X25" s="877">
        <f t="shared" si="18"/>
        <v>2.5</v>
      </c>
      <c r="Y25" s="879">
        <f t="shared" si="18"/>
        <v>2.5</v>
      </c>
      <c r="Z25" s="517" t="s">
        <v>304</v>
      </c>
    </row>
    <row r="26" spans="1:26" ht="15.75" x14ac:dyDescent="0.2">
      <c r="A26" s="567" t="s">
        <v>270</v>
      </c>
      <c r="B26" s="572">
        <v>18</v>
      </c>
      <c r="C26" s="311">
        <v>21</v>
      </c>
      <c r="D26" s="311">
        <v>25</v>
      </c>
      <c r="E26" s="573">
        <v>27</v>
      </c>
      <c r="F26" s="320">
        <v>80</v>
      </c>
      <c r="G26" s="523" t="e">
        <f t="shared" si="15"/>
        <v>#NUM!</v>
      </c>
      <c r="H26" s="522" t="e">
        <f t="shared" si="11"/>
        <v>#NUM!</v>
      </c>
      <c r="I26" s="521" t="e">
        <f t="shared" si="6"/>
        <v>#NUM!</v>
      </c>
      <c r="J26" s="521" t="e">
        <f t="shared" si="6"/>
        <v>#NUM!</v>
      </c>
      <c r="K26" s="521" t="e">
        <f t="shared" si="6"/>
        <v>#NUM!</v>
      </c>
      <c r="L26" s="521" t="e">
        <f t="shared" si="6"/>
        <v>#NUM!</v>
      </c>
      <c r="M26" s="521" t="e">
        <f t="shared" si="6"/>
        <v>#NUM!</v>
      </c>
      <c r="N26" s="521" t="e">
        <f t="shared" si="6"/>
        <v>#NUM!</v>
      </c>
      <c r="O26" s="521" t="e">
        <f t="shared" si="6"/>
        <v>#NUM!</v>
      </c>
      <c r="P26" s="633" t="e">
        <f t="shared" si="6"/>
        <v>#NUM!</v>
      </c>
      <c r="Q26" s="751" t="e">
        <f t="shared" si="16"/>
        <v>#NUM!</v>
      </c>
      <c r="R26" s="752" t="e">
        <f t="shared" si="16"/>
        <v>#NUM!</v>
      </c>
      <c r="S26" s="752" t="e">
        <f t="shared" si="16"/>
        <v>#NUM!</v>
      </c>
      <c r="T26" s="756" t="e">
        <f t="shared" si="16"/>
        <v>#NUM!</v>
      </c>
      <c r="U26" s="878">
        <f t="shared" si="17"/>
        <v>2.5</v>
      </c>
      <c r="V26" s="877">
        <f t="shared" si="17"/>
        <v>2.5</v>
      </c>
      <c r="W26" s="877">
        <f t="shared" ref="W26:Y26" si="19">V26</f>
        <v>2.5</v>
      </c>
      <c r="X26" s="877">
        <f t="shared" si="19"/>
        <v>2.5</v>
      </c>
      <c r="Y26" s="879">
        <f t="shared" si="19"/>
        <v>2.5</v>
      </c>
      <c r="Z26" s="517" t="s">
        <v>304</v>
      </c>
    </row>
    <row r="27" spans="1:26" ht="15.75" x14ac:dyDescent="0.2">
      <c r="A27" s="567" t="s">
        <v>271</v>
      </c>
      <c r="B27" s="572">
        <v>18</v>
      </c>
      <c r="C27" s="311">
        <v>21</v>
      </c>
      <c r="D27" s="311">
        <v>25</v>
      </c>
      <c r="E27" s="573">
        <v>27</v>
      </c>
      <c r="F27" s="320">
        <v>80</v>
      </c>
      <c r="G27" s="523" t="e">
        <f t="shared" si="15"/>
        <v>#NUM!</v>
      </c>
      <c r="H27" s="522" t="e">
        <f t="shared" si="11"/>
        <v>#NUM!</v>
      </c>
      <c r="I27" s="521" t="e">
        <f t="shared" si="6"/>
        <v>#NUM!</v>
      </c>
      <c r="J27" s="521" t="e">
        <f t="shared" si="6"/>
        <v>#NUM!</v>
      </c>
      <c r="K27" s="521" t="e">
        <f t="shared" si="6"/>
        <v>#NUM!</v>
      </c>
      <c r="L27" s="521" t="e">
        <f t="shared" si="6"/>
        <v>#NUM!</v>
      </c>
      <c r="M27" s="521" t="e">
        <f t="shared" si="6"/>
        <v>#NUM!</v>
      </c>
      <c r="N27" s="521" t="e">
        <f t="shared" si="6"/>
        <v>#NUM!</v>
      </c>
      <c r="O27" s="521" t="e">
        <f t="shared" si="6"/>
        <v>#NUM!</v>
      </c>
      <c r="P27" s="633" t="e">
        <f t="shared" si="6"/>
        <v>#NUM!</v>
      </c>
      <c r="Q27" s="751" t="e">
        <f t="shared" si="16"/>
        <v>#NUM!</v>
      </c>
      <c r="R27" s="752" t="e">
        <f t="shared" si="16"/>
        <v>#NUM!</v>
      </c>
      <c r="S27" s="752" t="e">
        <f t="shared" si="16"/>
        <v>#NUM!</v>
      </c>
      <c r="T27" s="756" t="e">
        <f t="shared" si="16"/>
        <v>#NUM!</v>
      </c>
      <c r="U27" s="878">
        <f t="shared" si="17"/>
        <v>2.5</v>
      </c>
      <c r="V27" s="877">
        <f t="shared" si="17"/>
        <v>2.5</v>
      </c>
      <c r="W27" s="877">
        <f t="shared" ref="W27:Y27" si="20">V27</f>
        <v>2.5</v>
      </c>
      <c r="X27" s="877">
        <f t="shared" si="20"/>
        <v>2.5</v>
      </c>
      <c r="Y27" s="879">
        <f t="shared" si="20"/>
        <v>2.5</v>
      </c>
      <c r="Z27" s="517" t="s">
        <v>304</v>
      </c>
    </row>
    <row r="28" spans="1:26" ht="15.75" x14ac:dyDescent="0.2">
      <c r="A28" s="567" t="s">
        <v>272</v>
      </c>
      <c r="B28" s="572">
        <v>18</v>
      </c>
      <c r="C28" s="311">
        <v>21</v>
      </c>
      <c r="D28" s="311">
        <v>25</v>
      </c>
      <c r="E28" s="573">
        <v>27</v>
      </c>
      <c r="F28" s="320">
        <v>80</v>
      </c>
      <c r="G28" s="523" t="e">
        <f t="shared" si="15"/>
        <v>#NUM!</v>
      </c>
      <c r="H28" s="522" t="e">
        <f t="shared" si="11"/>
        <v>#NUM!</v>
      </c>
      <c r="I28" s="521" t="e">
        <f t="shared" si="11"/>
        <v>#NUM!</v>
      </c>
      <c r="J28" s="521" t="e">
        <f t="shared" si="11"/>
        <v>#NUM!</v>
      </c>
      <c r="K28" s="521" t="e">
        <f t="shared" si="11"/>
        <v>#NUM!</v>
      </c>
      <c r="L28" s="521" t="e">
        <f t="shared" si="11"/>
        <v>#NUM!</v>
      </c>
      <c r="M28" s="521" t="e">
        <f t="shared" si="11"/>
        <v>#NUM!</v>
      </c>
      <c r="N28" s="521" t="e">
        <f t="shared" si="11"/>
        <v>#NUM!</v>
      </c>
      <c r="O28" s="521" t="e">
        <f t="shared" si="11"/>
        <v>#NUM!</v>
      </c>
      <c r="P28" s="633" t="e">
        <f t="shared" si="11"/>
        <v>#NUM!</v>
      </c>
      <c r="Q28" s="751" t="e">
        <f t="shared" si="16"/>
        <v>#NUM!</v>
      </c>
      <c r="R28" s="752" t="e">
        <f t="shared" si="16"/>
        <v>#NUM!</v>
      </c>
      <c r="S28" s="752" t="e">
        <f t="shared" si="16"/>
        <v>#NUM!</v>
      </c>
      <c r="T28" s="756" t="e">
        <f t="shared" si="16"/>
        <v>#NUM!</v>
      </c>
      <c r="U28" s="878">
        <f t="shared" si="17"/>
        <v>2.5</v>
      </c>
      <c r="V28" s="877">
        <f t="shared" si="17"/>
        <v>2.5</v>
      </c>
      <c r="W28" s="877">
        <f t="shared" ref="W28:Y28" si="21">V28</f>
        <v>2.5</v>
      </c>
      <c r="X28" s="877">
        <f t="shared" si="21"/>
        <v>2.5</v>
      </c>
      <c r="Y28" s="879">
        <f t="shared" si="21"/>
        <v>2.5</v>
      </c>
      <c r="Z28" s="517" t="s">
        <v>304</v>
      </c>
    </row>
    <row r="29" spans="1:26" ht="15.75" x14ac:dyDescent="0.2">
      <c r="A29" s="567" t="s">
        <v>273</v>
      </c>
      <c r="B29" s="572">
        <v>18</v>
      </c>
      <c r="C29" s="311">
        <v>21</v>
      </c>
      <c r="D29" s="311">
        <v>25</v>
      </c>
      <c r="E29" s="573">
        <v>27</v>
      </c>
      <c r="F29" s="320">
        <v>80</v>
      </c>
      <c r="G29" s="523" t="e">
        <f t="shared" si="15"/>
        <v>#NUM!</v>
      </c>
      <c r="H29" s="522" t="e">
        <f t="shared" si="11"/>
        <v>#NUM!</v>
      </c>
      <c r="I29" s="521" t="e">
        <f t="shared" si="11"/>
        <v>#NUM!</v>
      </c>
      <c r="J29" s="521" t="e">
        <f t="shared" si="11"/>
        <v>#NUM!</v>
      </c>
      <c r="K29" s="521" t="e">
        <f t="shared" si="11"/>
        <v>#NUM!</v>
      </c>
      <c r="L29" s="521" t="e">
        <f t="shared" si="11"/>
        <v>#NUM!</v>
      </c>
      <c r="M29" s="521" t="e">
        <f t="shared" si="11"/>
        <v>#NUM!</v>
      </c>
      <c r="N29" s="521" t="e">
        <f t="shared" si="11"/>
        <v>#NUM!</v>
      </c>
      <c r="O29" s="521" t="e">
        <f t="shared" si="11"/>
        <v>#NUM!</v>
      </c>
      <c r="P29" s="633" t="e">
        <f t="shared" si="11"/>
        <v>#NUM!</v>
      </c>
      <c r="Q29" s="751" t="e">
        <f t="shared" si="16"/>
        <v>#NUM!</v>
      </c>
      <c r="R29" s="752" t="e">
        <f t="shared" si="16"/>
        <v>#NUM!</v>
      </c>
      <c r="S29" s="752" t="e">
        <f t="shared" si="16"/>
        <v>#NUM!</v>
      </c>
      <c r="T29" s="756" t="e">
        <f t="shared" si="16"/>
        <v>#NUM!</v>
      </c>
      <c r="U29" s="878">
        <f t="shared" si="17"/>
        <v>2.5</v>
      </c>
      <c r="V29" s="877">
        <f t="shared" si="17"/>
        <v>2.5</v>
      </c>
      <c r="W29" s="877">
        <f t="shared" ref="W29:Y29" si="22">V29</f>
        <v>2.5</v>
      </c>
      <c r="X29" s="877">
        <f t="shared" si="22"/>
        <v>2.5</v>
      </c>
      <c r="Y29" s="879">
        <f t="shared" si="22"/>
        <v>2.5</v>
      </c>
      <c r="Z29" s="517" t="s">
        <v>304</v>
      </c>
    </row>
    <row r="30" spans="1:26" ht="15.75" x14ac:dyDescent="0.2">
      <c r="A30" s="567" t="s">
        <v>274</v>
      </c>
      <c r="B30" s="572">
        <v>18</v>
      </c>
      <c r="C30" s="311">
        <v>21</v>
      </c>
      <c r="D30" s="311">
        <v>25</v>
      </c>
      <c r="E30" s="573">
        <v>27</v>
      </c>
      <c r="F30" s="320">
        <v>80</v>
      </c>
      <c r="G30" s="523" t="e">
        <f t="shared" si="15"/>
        <v>#NUM!</v>
      </c>
      <c r="H30" s="522" t="e">
        <f t="shared" ref="H30:P58" si="23">ROUND(H$6/6.2*$G30,2)</f>
        <v>#NUM!</v>
      </c>
      <c r="I30" s="521" t="e">
        <f t="shared" si="23"/>
        <v>#NUM!</v>
      </c>
      <c r="J30" s="521" t="e">
        <f t="shared" si="23"/>
        <v>#NUM!</v>
      </c>
      <c r="K30" s="521" t="e">
        <f t="shared" si="23"/>
        <v>#NUM!</v>
      </c>
      <c r="L30" s="521" t="e">
        <f t="shared" si="23"/>
        <v>#NUM!</v>
      </c>
      <c r="M30" s="521" t="e">
        <f t="shared" si="23"/>
        <v>#NUM!</v>
      </c>
      <c r="N30" s="521" t="e">
        <f t="shared" si="23"/>
        <v>#NUM!</v>
      </c>
      <c r="O30" s="521" t="e">
        <f t="shared" si="23"/>
        <v>#NUM!</v>
      </c>
      <c r="P30" s="633" t="e">
        <f t="shared" si="23"/>
        <v>#NUM!</v>
      </c>
      <c r="Q30" s="751" t="e">
        <f t="shared" si="16"/>
        <v>#NUM!</v>
      </c>
      <c r="R30" s="752" t="e">
        <f t="shared" si="16"/>
        <v>#NUM!</v>
      </c>
      <c r="S30" s="752" t="e">
        <f t="shared" si="16"/>
        <v>#NUM!</v>
      </c>
      <c r="T30" s="756" t="e">
        <f t="shared" si="16"/>
        <v>#NUM!</v>
      </c>
      <c r="U30" s="878">
        <f t="shared" si="17"/>
        <v>2.5</v>
      </c>
      <c r="V30" s="877">
        <f t="shared" si="17"/>
        <v>2.5</v>
      </c>
      <c r="W30" s="877">
        <f t="shared" ref="W30:Y30" si="24">V30</f>
        <v>2.5</v>
      </c>
      <c r="X30" s="877">
        <f t="shared" si="24"/>
        <v>2.5</v>
      </c>
      <c r="Y30" s="879">
        <f t="shared" si="24"/>
        <v>2.5</v>
      </c>
      <c r="Z30" s="517" t="s">
        <v>304</v>
      </c>
    </row>
    <row r="31" spans="1:26" ht="15.75" x14ac:dyDescent="0.2">
      <c r="A31" s="567" t="s">
        <v>275</v>
      </c>
      <c r="B31" s="572">
        <v>18</v>
      </c>
      <c r="C31" s="311">
        <v>21</v>
      </c>
      <c r="D31" s="311">
        <v>25</v>
      </c>
      <c r="E31" s="573">
        <v>27</v>
      </c>
      <c r="F31" s="320">
        <v>80</v>
      </c>
      <c r="G31" s="523" t="e">
        <f t="shared" si="15"/>
        <v>#NUM!</v>
      </c>
      <c r="H31" s="522" t="e">
        <f t="shared" si="23"/>
        <v>#NUM!</v>
      </c>
      <c r="I31" s="521" t="e">
        <f t="shared" si="23"/>
        <v>#NUM!</v>
      </c>
      <c r="J31" s="521" t="e">
        <f t="shared" si="23"/>
        <v>#NUM!</v>
      </c>
      <c r="K31" s="521" t="e">
        <f t="shared" si="23"/>
        <v>#NUM!</v>
      </c>
      <c r="L31" s="521" t="e">
        <f t="shared" si="23"/>
        <v>#NUM!</v>
      </c>
      <c r="M31" s="521" t="e">
        <f t="shared" si="23"/>
        <v>#NUM!</v>
      </c>
      <c r="N31" s="521" t="e">
        <f t="shared" si="23"/>
        <v>#NUM!</v>
      </c>
      <c r="O31" s="521" t="e">
        <f t="shared" si="23"/>
        <v>#NUM!</v>
      </c>
      <c r="P31" s="633" t="e">
        <f t="shared" si="23"/>
        <v>#NUM!</v>
      </c>
      <c r="Q31" s="751" t="e">
        <f t="shared" si="16"/>
        <v>#NUM!</v>
      </c>
      <c r="R31" s="752" t="e">
        <f t="shared" si="16"/>
        <v>#NUM!</v>
      </c>
      <c r="S31" s="752" t="e">
        <f t="shared" si="16"/>
        <v>#NUM!</v>
      </c>
      <c r="T31" s="756" t="e">
        <f t="shared" si="16"/>
        <v>#NUM!</v>
      </c>
      <c r="U31" s="878">
        <f t="shared" si="17"/>
        <v>2.5</v>
      </c>
      <c r="V31" s="877">
        <f t="shared" si="17"/>
        <v>2.5</v>
      </c>
      <c r="W31" s="877">
        <f t="shared" ref="W31:Y31" si="25">V31</f>
        <v>2.5</v>
      </c>
      <c r="X31" s="877">
        <f t="shared" si="25"/>
        <v>2.5</v>
      </c>
      <c r="Y31" s="879">
        <f t="shared" si="25"/>
        <v>2.5</v>
      </c>
      <c r="Z31" s="517" t="s">
        <v>304</v>
      </c>
    </row>
    <row r="32" spans="1:26" ht="15.75" x14ac:dyDescent="0.2">
      <c r="A32" s="567" t="s">
        <v>276</v>
      </c>
      <c r="B32" s="572">
        <v>18</v>
      </c>
      <c r="C32" s="311">
        <v>21</v>
      </c>
      <c r="D32" s="311">
        <v>25</v>
      </c>
      <c r="E32" s="573">
        <v>27</v>
      </c>
      <c r="F32" s="320">
        <v>80</v>
      </c>
      <c r="G32" s="523" t="e">
        <f t="shared" si="15"/>
        <v>#NUM!</v>
      </c>
      <c r="H32" s="522" t="e">
        <f t="shared" si="23"/>
        <v>#NUM!</v>
      </c>
      <c r="I32" s="521" t="e">
        <f t="shared" si="23"/>
        <v>#NUM!</v>
      </c>
      <c r="J32" s="521" t="e">
        <f t="shared" si="23"/>
        <v>#NUM!</v>
      </c>
      <c r="K32" s="521" t="e">
        <f t="shared" si="23"/>
        <v>#NUM!</v>
      </c>
      <c r="L32" s="521" t="e">
        <f t="shared" si="23"/>
        <v>#NUM!</v>
      </c>
      <c r="M32" s="521" t="e">
        <f t="shared" si="23"/>
        <v>#NUM!</v>
      </c>
      <c r="N32" s="521" t="e">
        <f t="shared" si="23"/>
        <v>#NUM!</v>
      </c>
      <c r="O32" s="521" t="e">
        <f t="shared" si="23"/>
        <v>#NUM!</v>
      </c>
      <c r="P32" s="633" t="e">
        <f t="shared" si="23"/>
        <v>#NUM!</v>
      </c>
      <c r="Q32" s="751" t="e">
        <f t="shared" si="16"/>
        <v>#NUM!</v>
      </c>
      <c r="R32" s="752" t="e">
        <f t="shared" si="16"/>
        <v>#NUM!</v>
      </c>
      <c r="S32" s="752" t="e">
        <f t="shared" si="16"/>
        <v>#NUM!</v>
      </c>
      <c r="T32" s="756" t="e">
        <f t="shared" si="16"/>
        <v>#NUM!</v>
      </c>
      <c r="U32" s="878">
        <f t="shared" si="17"/>
        <v>2.5</v>
      </c>
      <c r="V32" s="877">
        <f t="shared" si="17"/>
        <v>2.5</v>
      </c>
      <c r="W32" s="877">
        <f t="shared" ref="W32:Y32" si="26">V32</f>
        <v>2.5</v>
      </c>
      <c r="X32" s="877">
        <f t="shared" si="26"/>
        <v>2.5</v>
      </c>
      <c r="Y32" s="879">
        <f t="shared" si="26"/>
        <v>2.5</v>
      </c>
      <c r="Z32" s="517" t="s">
        <v>304</v>
      </c>
    </row>
    <row r="33" spans="1:26" ht="15.75" x14ac:dyDescent="0.2">
      <c r="A33" s="567" t="s">
        <v>277</v>
      </c>
      <c r="B33" s="572">
        <v>18</v>
      </c>
      <c r="C33" s="311">
        <v>21</v>
      </c>
      <c r="D33" s="311">
        <v>25</v>
      </c>
      <c r="E33" s="573">
        <v>27</v>
      </c>
      <c r="F33" s="320">
        <v>80</v>
      </c>
      <c r="G33" s="523" t="e">
        <f t="shared" si="15"/>
        <v>#NUM!</v>
      </c>
      <c r="H33" s="522" t="e">
        <f t="shared" si="23"/>
        <v>#NUM!</v>
      </c>
      <c r="I33" s="521" t="e">
        <f t="shared" si="23"/>
        <v>#NUM!</v>
      </c>
      <c r="J33" s="521" t="e">
        <f t="shared" si="23"/>
        <v>#NUM!</v>
      </c>
      <c r="K33" s="521" t="e">
        <f t="shared" si="23"/>
        <v>#NUM!</v>
      </c>
      <c r="L33" s="521" t="e">
        <f t="shared" si="23"/>
        <v>#NUM!</v>
      </c>
      <c r="M33" s="521" t="e">
        <f t="shared" si="23"/>
        <v>#NUM!</v>
      </c>
      <c r="N33" s="521" t="e">
        <f t="shared" si="23"/>
        <v>#NUM!</v>
      </c>
      <c r="O33" s="521" t="e">
        <f t="shared" si="23"/>
        <v>#NUM!</v>
      </c>
      <c r="P33" s="633" t="e">
        <f t="shared" si="23"/>
        <v>#NUM!</v>
      </c>
      <c r="Q33" s="751" t="e">
        <f t="shared" si="16"/>
        <v>#NUM!</v>
      </c>
      <c r="R33" s="752" t="e">
        <f t="shared" si="16"/>
        <v>#NUM!</v>
      </c>
      <c r="S33" s="752" t="e">
        <f t="shared" si="16"/>
        <v>#NUM!</v>
      </c>
      <c r="T33" s="756" t="e">
        <f t="shared" si="16"/>
        <v>#NUM!</v>
      </c>
      <c r="U33" s="878">
        <f t="shared" si="17"/>
        <v>2.5</v>
      </c>
      <c r="V33" s="877">
        <f t="shared" si="17"/>
        <v>2.5</v>
      </c>
      <c r="W33" s="877">
        <f t="shared" ref="W33:Y33" si="27">V33</f>
        <v>2.5</v>
      </c>
      <c r="X33" s="877">
        <f t="shared" si="27"/>
        <v>2.5</v>
      </c>
      <c r="Y33" s="879">
        <f t="shared" si="27"/>
        <v>2.5</v>
      </c>
      <c r="Z33" s="517" t="s">
        <v>304</v>
      </c>
    </row>
    <row r="34" spans="1:26" ht="15.75" x14ac:dyDescent="0.2">
      <c r="A34" s="567" t="s">
        <v>278</v>
      </c>
      <c r="B34" s="572">
        <v>18</v>
      </c>
      <c r="C34" s="311">
        <v>21</v>
      </c>
      <c r="D34" s="311">
        <v>25</v>
      </c>
      <c r="E34" s="573">
        <v>27</v>
      </c>
      <c r="F34" s="320">
        <v>80</v>
      </c>
      <c r="G34" s="523" t="e">
        <f t="shared" si="15"/>
        <v>#NUM!</v>
      </c>
      <c r="H34" s="522" t="e">
        <f t="shared" si="23"/>
        <v>#NUM!</v>
      </c>
      <c r="I34" s="521" t="e">
        <f t="shared" si="23"/>
        <v>#NUM!</v>
      </c>
      <c r="J34" s="521" t="e">
        <f t="shared" si="23"/>
        <v>#NUM!</v>
      </c>
      <c r="K34" s="521" t="e">
        <f t="shared" si="23"/>
        <v>#NUM!</v>
      </c>
      <c r="L34" s="521" t="e">
        <f t="shared" si="23"/>
        <v>#NUM!</v>
      </c>
      <c r="M34" s="521" t="e">
        <f t="shared" si="23"/>
        <v>#NUM!</v>
      </c>
      <c r="N34" s="521" t="e">
        <f t="shared" si="23"/>
        <v>#NUM!</v>
      </c>
      <c r="O34" s="521" t="e">
        <f t="shared" si="23"/>
        <v>#NUM!</v>
      </c>
      <c r="P34" s="633" t="e">
        <f t="shared" si="23"/>
        <v>#NUM!</v>
      </c>
      <c r="Q34" s="751" t="e">
        <f t="shared" si="16"/>
        <v>#NUM!</v>
      </c>
      <c r="R34" s="752" t="e">
        <f t="shared" si="16"/>
        <v>#NUM!</v>
      </c>
      <c r="S34" s="752" t="e">
        <f t="shared" si="16"/>
        <v>#NUM!</v>
      </c>
      <c r="T34" s="756" t="e">
        <f t="shared" si="16"/>
        <v>#NUM!</v>
      </c>
      <c r="U34" s="878">
        <f t="shared" si="17"/>
        <v>2.5</v>
      </c>
      <c r="V34" s="877">
        <f t="shared" si="17"/>
        <v>2.5</v>
      </c>
      <c r="W34" s="877">
        <f t="shared" ref="W34:Y34" si="28">V34</f>
        <v>2.5</v>
      </c>
      <c r="X34" s="877">
        <f t="shared" si="28"/>
        <v>2.5</v>
      </c>
      <c r="Y34" s="879">
        <f t="shared" si="28"/>
        <v>2.5</v>
      </c>
      <c r="Z34" s="517" t="s">
        <v>304</v>
      </c>
    </row>
    <row r="35" spans="1:26" ht="16.5" thickBot="1" x14ac:dyDescent="0.25">
      <c r="A35" s="568" t="s">
        <v>279</v>
      </c>
      <c r="B35" s="574">
        <v>18</v>
      </c>
      <c r="C35" s="575">
        <v>21</v>
      </c>
      <c r="D35" s="575">
        <v>25</v>
      </c>
      <c r="E35" s="576">
        <v>27</v>
      </c>
      <c r="F35" s="518">
        <v>80</v>
      </c>
      <c r="G35" s="524" t="e">
        <f t="shared" si="15"/>
        <v>#NUM!</v>
      </c>
      <c r="H35" s="525" t="e">
        <f t="shared" si="23"/>
        <v>#NUM!</v>
      </c>
      <c r="I35" s="526" t="e">
        <f t="shared" si="23"/>
        <v>#NUM!</v>
      </c>
      <c r="J35" s="526" t="e">
        <f t="shared" si="23"/>
        <v>#NUM!</v>
      </c>
      <c r="K35" s="526" t="e">
        <f t="shared" si="23"/>
        <v>#NUM!</v>
      </c>
      <c r="L35" s="526" t="e">
        <f t="shared" si="23"/>
        <v>#NUM!</v>
      </c>
      <c r="M35" s="526" t="e">
        <f t="shared" si="23"/>
        <v>#NUM!</v>
      </c>
      <c r="N35" s="526" t="e">
        <f t="shared" si="23"/>
        <v>#NUM!</v>
      </c>
      <c r="O35" s="526" t="e">
        <f t="shared" si="23"/>
        <v>#NUM!</v>
      </c>
      <c r="P35" s="635" t="e">
        <f t="shared" si="23"/>
        <v>#NUM!</v>
      </c>
      <c r="Q35" s="753" t="e">
        <f t="shared" si="16"/>
        <v>#NUM!</v>
      </c>
      <c r="R35" s="754" t="e">
        <f t="shared" si="16"/>
        <v>#NUM!</v>
      </c>
      <c r="S35" s="754" t="e">
        <f t="shared" si="16"/>
        <v>#NUM!</v>
      </c>
      <c r="T35" s="757" t="e">
        <f t="shared" si="16"/>
        <v>#NUM!</v>
      </c>
      <c r="U35" s="878">
        <f t="shared" si="17"/>
        <v>2.5</v>
      </c>
      <c r="V35" s="877">
        <f t="shared" si="17"/>
        <v>2.5</v>
      </c>
      <c r="W35" s="877">
        <f t="shared" ref="W35:Y35" si="29">V35</f>
        <v>2.5</v>
      </c>
      <c r="X35" s="877">
        <f t="shared" si="29"/>
        <v>2.5</v>
      </c>
      <c r="Y35" s="879">
        <f t="shared" si="29"/>
        <v>2.5</v>
      </c>
      <c r="Z35" s="517" t="s">
        <v>304</v>
      </c>
    </row>
    <row r="36" spans="1:26" ht="15.75" x14ac:dyDescent="0.2">
      <c r="A36" s="566" t="s">
        <v>318</v>
      </c>
      <c r="B36" s="569">
        <v>18</v>
      </c>
      <c r="C36" s="570">
        <v>21</v>
      </c>
      <c r="D36" s="570">
        <v>25</v>
      </c>
      <c r="E36" s="571">
        <v>27</v>
      </c>
      <c r="F36" s="561">
        <v>80</v>
      </c>
      <c r="G36" s="528" t="e">
        <f t="shared" si="15"/>
        <v>#NUM!</v>
      </c>
      <c r="H36" s="529" t="e">
        <f t="shared" si="23"/>
        <v>#NUM!</v>
      </c>
      <c r="I36" s="530" t="e">
        <f t="shared" si="23"/>
        <v>#NUM!</v>
      </c>
      <c r="J36" s="530" t="e">
        <f t="shared" si="23"/>
        <v>#NUM!</v>
      </c>
      <c r="K36" s="530" t="e">
        <f t="shared" si="23"/>
        <v>#NUM!</v>
      </c>
      <c r="L36" s="530" t="e">
        <f t="shared" si="23"/>
        <v>#NUM!</v>
      </c>
      <c r="M36" s="530" t="e">
        <f t="shared" si="23"/>
        <v>#NUM!</v>
      </c>
      <c r="N36" s="530" t="e">
        <f t="shared" si="23"/>
        <v>#NUM!</v>
      </c>
      <c r="O36" s="530" t="e">
        <f t="shared" si="23"/>
        <v>#NUM!</v>
      </c>
      <c r="P36" s="636" t="e">
        <f t="shared" si="23"/>
        <v>#NUM!</v>
      </c>
      <c r="Q36" s="751" t="e">
        <f t="shared" si="16"/>
        <v>#NUM!</v>
      </c>
      <c r="R36" s="752" t="e">
        <f t="shared" si="16"/>
        <v>#NUM!</v>
      </c>
      <c r="S36" s="752" t="e">
        <f t="shared" si="16"/>
        <v>#NUM!</v>
      </c>
      <c r="T36" s="756" t="e">
        <f t="shared" si="16"/>
        <v>#NUM!</v>
      </c>
      <c r="U36" s="878">
        <f t="shared" si="17"/>
        <v>2.5</v>
      </c>
      <c r="V36" s="877">
        <f t="shared" si="17"/>
        <v>2.5</v>
      </c>
      <c r="W36" s="877">
        <f t="shared" ref="W36:Y36" si="30">V36</f>
        <v>2.5</v>
      </c>
      <c r="X36" s="877">
        <f t="shared" si="30"/>
        <v>2.5</v>
      </c>
      <c r="Y36" s="879">
        <f t="shared" si="30"/>
        <v>2.5</v>
      </c>
      <c r="Z36" s="517" t="s">
        <v>304</v>
      </c>
    </row>
    <row r="37" spans="1:26" ht="15.75" x14ac:dyDescent="0.2">
      <c r="A37" s="567" t="s">
        <v>319</v>
      </c>
      <c r="B37" s="572">
        <v>18</v>
      </c>
      <c r="C37" s="311">
        <v>21</v>
      </c>
      <c r="D37" s="311">
        <v>25</v>
      </c>
      <c r="E37" s="573">
        <v>27</v>
      </c>
      <c r="F37" s="320">
        <v>80</v>
      </c>
      <c r="G37" s="523" t="e">
        <f t="shared" si="15"/>
        <v>#NUM!</v>
      </c>
      <c r="H37" s="522" t="e">
        <f t="shared" si="23"/>
        <v>#NUM!</v>
      </c>
      <c r="I37" s="521" t="e">
        <f t="shared" si="23"/>
        <v>#NUM!</v>
      </c>
      <c r="J37" s="521" t="e">
        <f t="shared" si="23"/>
        <v>#NUM!</v>
      </c>
      <c r="K37" s="521" t="e">
        <f t="shared" si="23"/>
        <v>#NUM!</v>
      </c>
      <c r="L37" s="521" t="e">
        <f t="shared" si="23"/>
        <v>#NUM!</v>
      </c>
      <c r="M37" s="521" t="e">
        <f t="shared" si="23"/>
        <v>#NUM!</v>
      </c>
      <c r="N37" s="521" t="e">
        <f t="shared" si="23"/>
        <v>#NUM!</v>
      </c>
      <c r="O37" s="521" t="e">
        <f t="shared" si="23"/>
        <v>#NUM!</v>
      </c>
      <c r="P37" s="633" t="e">
        <f t="shared" si="23"/>
        <v>#NUM!</v>
      </c>
      <c r="Q37" s="751" t="e">
        <f t="shared" si="16"/>
        <v>#NUM!</v>
      </c>
      <c r="R37" s="752" t="e">
        <f t="shared" si="16"/>
        <v>#NUM!</v>
      </c>
      <c r="S37" s="752" t="e">
        <f t="shared" si="16"/>
        <v>#NUM!</v>
      </c>
      <c r="T37" s="756" t="e">
        <f t="shared" si="16"/>
        <v>#NUM!</v>
      </c>
      <c r="U37" s="878">
        <f t="shared" si="17"/>
        <v>2.5</v>
      </c>
      <c r="V37" s="877">
        <f t="shared" si="17"/>
        <v>2.5</v>
      </c>
      <c r="W37" s="877">
        <f t="shared" ref="W37:Y37" si="31">V37</f>
        <v>2.5</v>
      </c>
      <c r="X37" s="877">
        <f t="shared" si="31"/>
        <v>2.5</v>
      </c>
      <c r="Y37" s="879">
        <f t="shared" si="31"/>
        <v>2.5</v>
      </c>
      <c r="Z37" s="517" t="s">
        <v>304</v>
      </c>
    </row>
    <row r="38" spans="1:26" ht="15.75" x14ac:dyDescent="0.2">
      <c r="A38" s="567" t="s">
        <v>320</v>
      </c>
      <c r="B38" s="572">
        <v>18</v>
      </c>
      <c r="C38" s="311">
        <v>21</v>
      </c>
      <c r="D38" s="311">
        <v>25</v>
      </c>
      <c r="E38" s="573">
        <v>27</v>
      </c>
      <c r="F38" s="320">
        <v>80</v>
      </c>
      <c r="G38" s="523" t="e">
        <f t="shared" si="15"/>
        <v>#NUM!</v>
      </c>
      <c r="H38" s="522" t="e">
        <f t="shared" si="23"/>
        <v>#NUM!</v>
      </c>
      <c r="I38" s="521" t="e">
        <f t="shared" si="23"/>
        <v>#NUM!</v>
      </c>
      <c r="J38" s="521" t="e">
        <f t="shared" si="23"/>
        <v>#NUM!</v>
      </c>
      <c r="K38" s="521" t="e">
        <f t="shared" si="23"/>
        <v>#NUM!</v>
      </c>
      <c r="L38" s="521" t="e">
        <f t="shared" si="23"/>
        <v>#NUM!</v>
      </c>
      <c r="M38" s="521" t="e">
        <f t="shared" si="23"/>
        <v>#NUM!</v>
      </c>
      <c r="N38" s="521" t="e">
        <f t="shared" si="23"/>
        <v>#NUM!</v>
      </c>
      <c r="O38" s="521" t="e">
        <f t="shared" si="23"/>
        <v>#NUM!</v>
      </c>
      <c r="P38" s="633" t="e">
        <f t="shared" si="23"/>
        <v>#NUM!</v>
      </c>
      <c r="Q38" s="751" t="e">
        <f t="shared" si="16"/>
        <v>#NUM!</v>
      </c>
      <c r="R38" s="752" t="e">
        <f t="shared" si="16"/>
        <v>#NUM!</v>
      </c>
      <c r="S38" s="752" t="e">
        <f t="shared" si="16"/>
        <v>#NUM!</v>
      </c>
      <c r="T38" s="756" t="e">
        <f t="shared" si="16"/>
        <v>#NUM!</v>
      </c>
      <c r="U38" s="878">
        <f t="shared" si="17"/>
        <v>2.5</v>
      </c>
      <c r="V38" s="877">
        <f t="shared" si="17"/>
        <v>2.5</v>
      </c>
      <c r="W38" s="877">
        <f t="shared" ref="W38:Y38" si="32">V38</f>
        <v>2.5</v>
      </c>
      <c r="X38" s="877">
        <f t="shared" si="32"/>
        <v>2.5</v>
      </c>
      <c r="Y38" s="879">
        <f t="shared" si="32"/>
        <v>2.5</v>
      </c>
      <c r="Z38" s="517" t="s">
        <v>304</v>
      </c>
    </row>
    <row r="39" spans="1:26" ht="15.75" x14ac:dyDescent="0.2">
      <c r="A39" s="567" t="s">
        <v>321</v>
      </c>
      <c r="B39" s="572">
        <v>18</v>
      </c>
      <c r="C39" s="311">
        <v>21</v>
      </c>
      <c r="D39" s="311">
        <v>25</v>
      </c>
      <c r="E39" s="573">
        <v>27</v>
      </c>
      <c r="F39" s="320">
        <v>80</v>
      </c>
      <c r="G39" s="523" t="e">
        <f t="shared" si="15"/>
        <v>#NUM!</v>
      </c>
      <c r="H39" s="522" t="e">
        <f t="shared" si="23"/>
        <v>#NUM!</v>
      </c>
      <c r="I39" s="521" t="e">
        <f t="shared" si="23"/>
        <v>#NUM!</v>
      </c>
      <c r="J39" s="521" t="e">
        <f t="shared" si="23"/>
        <v>#NUM!</v>
      </c>
      <c r="K39" s="521" t="e">
        <f t="shared" si="23"/>
        <v>#NUM!</v>
      </c>
      <c r="L39" s="521" t="e">
        <f t="shared" si="23"/>
        <v>#NUM!</v>
      </c>
      <c r="M39" s="521" t="e">
        <f t="shared" si="23"/>
        <v>#NUM!</v>
      </c>
      <c r="N39" s="521" t="e">
        <f t="shared" si="23"/>
        <v>#NUM!</v>
      </c>
      <c r="O39" s="521" t="e">
        <f t="shared" si="23"/>
        <v>#NUM!</v>
      </c>
      <c r="P39" s="633" t="e">
        <f t="shared" si="23"/>
        <v>#NUM!</v>
      </c>
      <c r="Q39" s="751" t="e">
        <f t="shared" si="16"/>
        <v>#NUM!</v>
      </c>
      <c r="R39" s="752" t="e">
        <f t="shared" si="16"/>
        <v>#NUM!</v>
      </c>
      <c r="S39" s="752" t="e">
        <f t="shared" si="16"/>
        <v>#NUM!</v>
      </c>
      <c r="T39" s="756" t="e">
        <f t="shared" si="16"/>
        <v>#NUM!</v>
      </c>
      <c r="U39" s="878">
        <f t="shared" si="17"/>
        <v>2.5</v>
      </c>
      <c r="V39" s="877">
        <f t="shared" si="17"/>
        <v>2.5</v>
      </c>
      <c r="W39" s="877">
        <f t="shared" ref="W39:Y39" si="33">V39</f>
        <v>2.5</v>
      </c>
      <c r="X39" s="877">
        <f t="shared" si="33"/>
        <v>2.5</v>
      </c>
      <c r="Y39" s="879">
        <f t="shared" si="33"/>
        <v>2.5</v>
      </c>
      <c r="Z39" s="517" t="s">
        <v>304</v>
      </c>
    </row>
    <row r="40" spans="1:26" ht="15.75" x14ac:dyDescent="0.2">
      <c r="A40" s="567" t="s">
        <v>322</v>
      </c>
      <c r="B40" s="572">
        <v>18</v>
      </c>
      <c r="C40" s="311">
        <v>21</v>
      </c>
      <c r="D40" s="311">
        <v>25</v>
      </c>
      <c r="E40" s="573">
        <v>27</v>
      </c>
      <c r="F40" s="320">
        <v>80</v>
      </c>
      <c r="G40" s="523" t="e">
        <f t="shared" si="15"/>
        <v>#NUM!</v>
      </c>
      <c r="H40" s="522" t="e">
        <f t="shared" si="23"/>
        <v>#NUM!</v>
      </c>
      <c r="I40" s="521" t="e">
        <f t="shared" si="23"/>
        <v>#NUM!</v>
      </c>
      <c r="J40" s="521" t="e">
        <f t="shared" si="23"/>
        <v>#NUM!</v>
      </c>
      <c r="K40" s="521" t="e">
        <f t="shared" si="23"/>
        <v>#NUM!</v>
      </c>
      <c r="L40" s="521" t="e">
        <f t="shared" si="23"/>
        <v>#NUM!</v>
      </c>
      <c r="M40" s="521" t="e">
        <f t="shared" si="23"/>
        <v>#NUM!</v>
      </c>
      <c r="N40" s="521" t="e">
        <f t="shared" si="23"/>
        <v>#NUM!</v>
      </c>
      <c r="O40" s="521" t="e">
        <f t="shared" si="23"/>
        <v>#NUM!</v>
      </c>
      <c r="P40" s="633" t="e">
        <f t="shared" si="23"/>
        <v>#NUM!</v>
      </c>
      <c r="Q40" s="751" t="e">
        <f t="shared" si="16"/>
        <v>#NUM!</v>
      </c>
      <c r="R40" s="752" t="e">
        <f t="shared" si="16"/>
        <v>#NUM!</v>
      </c>
      <c r="S40" s="752" t="e">
        <f t="shared" si="16"/>
        <v>#NUM!</v>
      </c>
      <c r="T40" s="756" t="e">
        <f t="shared" si="16"/>
        <v>#NUM!</v>
      </c>
      <c r="U40" s="878">
        <f t="shared" si="17"/>
        <v>2.5</v>
      </c>
      <c r="V40" s="877">
        <f t="shared" si="17"/>
        <v>2.5</v>
      </c>
      <c r="W40" s="877">
        <f t="shared" ref="W40:Y40" si="34">V40</f>
        <v>2.5</v>
      </c>
      <c r="X40" s="877">
        <f t="shared" si="34"/>
        <v>2.5</v>
      </c>
      <c r="Y40" s="879">
        <f t="shared" si="34"/>
        <v>2.5</v>
      </c>
      <c r="Z40" s="517" t="s">
        <v>304</v>
      </c>
    </row>
    <row r="41" spans="1:26" ht="15.75" x14ac:dyDescent="0.2">
      <c r="A41" s="567" t="s">
        <v>323</v>
      </c>
      <c r="B41" s="572">
        <v>18</v>
      </c>
      <c r="C41" s="311">
        <v>21</v>
      </c>
      <c r="D41" s="311">
        <v>25</v>
      </c>
      <c r="E41" s="573">
        <v>27</v>
      </c>
      <c r="F41" s="320">
        <v>80</v>
      </c>
      <c r="G41" s="523" t="e">
        <f t="shared" si="15"/>
        <v>#NUM!</v>
      </c>
      <c r="H41" s="522" t="e">
        <f t="shared" si="23"/>
        <v>#NUM!</v>
      </c>
      <c r="I41" s="521" t="e">
        <f t="shared" si="23"/>
        <v>#NUM!</v>
      </c>
      <c r="J41" s="521" t="e">
        <f t="shared" si="23"/>
        <v>#NUM!</v>
      </c>
      <c r="K41" s="521" t="e">
        <f t="shared" si="23"/>
        <v>#NUM!</v>
      </c>
      <c r="L41" s="521" t="e">
        <f t="shared" si="23"/>
        <v>#NUM!</v>
      </c>
      <c r="M41" s="521" t="e">
        <f t="shared" si="23"/>
        <v>#NUM!</v>
      </c>
      <c r="N41" s="521" t="e">
        <f t="shared" si="23"/>
        <v>#NUM!</v>
      </c>
      <c r="O41" s="521" t="e">
        <f t="shared" si="23"/>
        <v>#NUM!</v>
      </c>
      <c r="P41" s="633" t="e">
        <f t="shared" si="23"/>
        <v>#NUM!</v>
      </c>
      <c r="Q41" s="751" t="e">
        <f t="shared" si="16"/>
        <v>#NUM!</v>
      </c>
      <c r="R41" s="752" t="e">
        <f t="shared" si="16"/>
        <v>#NUM!</v>
      </c>
      <c r="S41" s="752" t="e">
        <f t="shared" si="16"/>
        <v>#NUM!</v>
      </c>
      <c r="T41" s="756" t="e">
        <f t="shared" si="16"/>
        <v>#NUM!</v>
      </c>
      <c r="U41" s="878">
        <f t="shared" si="17"/>
        <v>2.5</v>
      </c>
      <c r="V41" s="877">
        <f t="shared" si="17"/>
        <v>2.5</v>
      </c>
      <c r="W41" s="877">
        <f t="shared" ref="W41:Y41" si="35">V41</f>
        <v>2.5</v>
      </c>
      <c r="X41" s="877">
        <f t="shared" si="35"/>
        <v>2.5</v>
      </c>
      <c r="Y41" s="879">
        <f t="shared" si="35"/>
        <v>2.5</v>
      </c>
      <c r="Z41" s="517" t="s">
        <v>304</v>
      </c>
    </row>
    <row r="42" spans="1:26" ht="15.75" x14ac:dyDescent="0.2">
      <c r="A42" s="567" t="s">
        <v>324</v>
      </c>
      <c r="B42" s="572">
        <v>18</v>
      </c>
      <c r="C42" s="311">
        <v>21</v>
      </c>
      <c r="D42" s="311">
        <v>25</v>
      </c>
      <c r="E42" s="573">
        <v>27</v>
      </c>
      <c r="F42" s="320">
        <v>80</v>
      </c>
      <c r="G42" s="523" t="e">
        <f t="shared" si="15"/>
        <v>#NUM!</v>
      </c>
      <c r="H42" s="522" t="e">
        <f t="shared" si="23"/>
        <v>#NUM!</v>
      </c>
      <c r="I42" s="521" t="e">
        <f t="shared" si="23"/>
        <v>#NUM!</v>
      </c>
      <c r="J42" s="521" t="e">
        <f t="shared" si="23"/>
        <v>#NUM!</v>
      </c>
      <c r="K42" s="521" t="e">
        <f t="shared" si="23"/>
        <v>#NUM!</v>
      </c>
      <c r="L42" s="521" t="e">
        <f t="shared" si="23"/>
        <v>#NUM!</v>
      </c>
      <c r="M42" s="521" t="e">
        <f t="shared" si="23"/>
        <v>#NUM!</v>
      </c>
      <c r="N42" s="521" t="e">
        <f t="shared" si="23"/>
        <v>#NUM!</v>
      </c>
      <c r="O42" s="521" t="e">
        <f t="shared" si="23"/>
        <v>#NUM!</v>
      </c>
      <c r="P42" s="633" t="e">
        <f t="shared" si="23"/>
        <v>#NUM!</v>
      </c>
      <c r="Q42" s="751" t="e">
        <f t="shared" si="16"/>
        <v>#NUM!</v>
      </c>
      <c r="R42" s="752" t="e">
        <f t="shared" si="16"/>
        <v>#NUM!</v>
      </c>
      <c r="S42" s="752" t="e">
        <f t="shared" si="16"/>
        <v>#NUM!</v>
      </c>
      <c r="T42" s="756" t="e">
        <f t="shared" si="16"/>
        <v>#NUM!</v>
      </c>
      <c r="U42" s="878">
        <f t="shared" si="17"/>
        <v>2.5</v>
      </c>
      <c r="V42" s="877">
        <f t="shared" si="17"/>
        <v>2.5</v>
      </c>
      <c r="W42" s="877">
        <f t="shared" ref="W42:Y42" si="36">V42</f>
        <v>2.5</v>
      </c>
      <c r="X42" s="877">
        <f t="shared" si="36"/>
        <v>2.5</v>
      </c>
      <c r="Y42" s="879">
        <f t="shared" si="36"/>
        <v>2.5</v>
      </c>
      <c r="Z42" s="517" t="s">
        <v>304</v>
      </c>
    </row>
    <row r="43" spans="1:26" ht="15.75" x14ac:dyDescent="0.2">
      <c r="A43" s="567" t="s">
        <v>325</v>
      </c>
      <c r="B43" s="572">
        <v>18</v>
      </c>
      <c r="C43" s="311">
        <v>21</v>
      </c>
      <c r="D43" s="311">
        <v>25</v>
      </c>
      <c r="E43" s="573">
        <v>27</v>
      </c>
      <c r="F43" s="320">
        <v>80</v>
      </c>
      <c r="G43" s="523" t="e">
        <f t="shared" si="15"/>
        <v>#NUM!</v>
      </c>
      <c r="H43" s="522" t="e">
        <f t="shared" si="23"/>
        <v>#NUM!</v>
      </c>
      <c r="I43" s="521" t="e">
        <f t="shared" si="23"/>
        <v>#NUM!</v>
      </c>
      <c r="J43" s="521" t="e">
        <f t="shared" si="23"/>
        <v>#NUM!</v>
      </c>
      <c r="K43" s="521" t="e">
        <f t="shared" si="23"/>
        <v>#NUM!</v>
      </c>
      <c r="L43" s="521" t="e">
        <f t="shared" si="23"/>
        <v>#NUM!</v>
      </c>
      <c r="M43" s="521" t="e">
        <f t="shared" si="23"/>
        <v>#NUM!</v>
      </c>
      <c r="N43" s="521" t="e">
        <f t="shared" si="23"/>
        <v>#NUM!</v>
      </c>
      <c r="O43" s="521" t="e">
        <f t="shared" si="23"/>
        <v>#NUM!</v>
      </c>
      <c r="P43" s="633" t="e">
        <f t="shared" si="23"/>
        <v>#NUM!</v>
      </c>
      <c r="Q43" s="751" t="e">
        <f t="shared" si="16"/>
        <v>#NUM!</v>
      </c>
      <c r="R43" s="752" t="e">
        <f t="shared" si="16"/>
        <v>#NUM!</v>
      </c>
      <c r="S43" s="752" t="e">
        <f t="shared" si="16"/>
        <v>#NUM!</v>
      </c>
      <c r="T43" s="756" t="e">
        <f t="shared" si="16"/>
        <v>#NUM!</v>
      </c>
      <c r="U43" s="878">
        <f t="shared" si="17"/>
        <v>2.5</v>
      </c>
      <c r="V43" s="877">
        <f t="shared" si="17"/>
        <v>2.5</v>
      </c>
      <c r="W43" s="877">
        <f t="shared" ref="W43:Y43" si="37">V43</f>
        <v>2.5</v>
      </c>
      <c r="X43" s="877">
        <f t="shared" si="37"/>
        <v>2.5</v>
      </c>
      <c r="Y43" s="879">
        <f t="shared" si="37"/>
        <v>2.5</v>
      </c>
      <c r="Z43" s="517" t="s">
        <v>304</v>
      </c>
    </row>
    <row r="44" spans="1:26" ht="15.75" x14ac:dyDescent="0.2">
      <c r="A44" s="567" t="s">
        <v>326</v>
      </c>
      <c r="B44" s="572">
        <v>18</v>
      </c>
      <c r="C44" s="311">
        <v>21</v>
      </c>
      <c r="D44" s="311">
        <v>25</v>
      </c>
      <c r="E44" s="573">
        <v>27</v>
      </c>
      <c r="F44" s="320">
        <v>80</v>
      </c>
      <c r="G44" s="523" t="e">
        <f t="shared" si="15"/>
        <v>#NUM!</v>
      </c>
      <c r="H44" s="522" t="e">
        <f t="shared" si="23"/>
        <v>#NUM!</v>
      </c>
      <c r="I44" s="521" t="e">
        <f t="shared" si="23"/>
        <v>#NUM!</v>
      </c>
      <c r="J44" s="521" t="e">
        <f t="shared" si="23"/>
        <v>#NUM!</v>
      </c>
      <c r="K44" s="521" t="e">
        <f t="shared" si="23"/>
        <v>#NUM!</v>
      </c>
      <c r="L44" s="521" t="e">
        <f t="shared" si="23"/>
        <v>#NUM!</v>
      </c>
      <c r="M44" s="521" t="e">
        <f t="shared" si="23"/>
        <v>#NUM!</v>
      </c>
      <c r="N44" s="521" t="e">
        <f t="shared" si="23"/>
        <v>#NUM!</v>
      </c>
      <c r="O44" s="521" t="e">
        <f t="shared" si="23"/>
        <v>#NUM!</v>
      </c>
      <c r="P44" s="633" t="e">
        <f t="shared" si="23"/>
        <v>#NUM!</v>
      </c>
      <c r="Q44" s="751" t="e">
        <f t="shared" si="16"/>
        <v>#NUM!</v>
      </c>
      <c r="R44" s="752" t="e">
        <f t="shared" si="16"/>
        <v>#NUM!</v>
      </c>
      <c r="S44" s="752" t="e">
        <f t="shared" si="16"/>
        <v>#NUM!</v>
      </c>
      <c r="T44" s="756" t="e">
        <f t="shared" si="16"/>
        <v>#NUM!</v>
      </c>
      <c r="U44" s="878">
        <f t="shared" si="17"/>
        <v>2.5</v>
      </c>
      <c r="V44" s="877">
        <f t="shared" si="17"/>
        <v>2.5</v>
      </c>
      <c r="W44" s="877">
        <f t="shared" ref="W44:Y44" si="38">V44</f>
        <v>2.5</v>
      </c>
      <c r="X44" s="877">
        <f t="shared" si="38"/>
        <v>2.5</v>
      </c>
      <c r="Y44" s="879">
        <f t="shared" si="38"/>
        <v>2.5</v>
      </c>
      <c r="Z44" s="517" t="s">
        <v>304</v>
      </c>
    </row>
    <row r="45" spans="1:26" ht="15.75" x14ac:dyDescent="0.2">
      <c r="A45" s="567" t="s">
        <v>327</v>
      </c>
      <c r="B45" s="572">
        <v>18</v>
      </c>
      <c r="C45" s="311">
        <v>21</v>
      </c>
      <c r="D45" s="311">
        <v>25</v>
      </c>
      <c r="E45" s="573">
        <v>27</v>
      </c>
      <c r="F45" s="320">
        <v>80</v>
      </c>
      <c r="G45" s="523" t="e">
        <f t="shared" si="15"/>
        <v>#NUM!</v>
      </c>
      <c r="H45" s="522" t="e">
        <f t="shared" si="23"/>
        <v>#NUM!</v>
      </c>
      <c r="I45" s="521" t="e">
        <f t="shared" si="23"/>
        <v>#NUM!</v>
      </c>
      <c r="J45" s="521" t="e">
        <f t="shared" si="23"/>
        <v>#NUM!</v>
      </c>
      <c r="K45" s="521" t="e">
        <f t="shared" si="23"/>
        <v>#NUM!</v>
      </c>
      <c r="L45" s="521" t="e">
        <f t="shared" si="23"/>
        <v>#NUM!</v>
      </c>
      <c r="M45" s="521" t="e">
        <f t="shared" si="23"/>
        <v>#NUM!</v>
      </c>
      <c r="N45" s="521" t="e">
        <f t="shared" si="23"/>
        <v>#NUM!</v>
      </c>
      <c r="O45" s="521" t="e">
        <f t="shared" si="23"/>
        <v>#NUM!</v>
      </c>
      <c r="P45" s="633" t="e">
        <f t="shared" si="23"/>
        <v>#NUM!</v>
      </c>
      <c r="Q45" s="751" t="e">
        <f t="shared" si="16"/>
        <v>#NUM!</v>
      </c>
      <c r="R45" s="752" t="e">
        <f t="shared" si="16"/>
        <v>#NUM!</v>
      </c>
      <c r="S45" s="752" t="e">
        <f t="shared" si="16"/>
        <v>#NUM!</v>
      </c>
      <c r="T45" s="756" t="e">
        <f t="shared" si="16"/>
        <v>#NUM!</v>
      </c>
      <c r="U45" s="878">
        <f t="shared" si="17"/>
        <v>2.5</v>
      </c>
      <c r="V45" s="877">
        <f t="shared" si="17"/>
        <v>2.5</v>
      </c>
      <c r="W45" s="877">
        <f t="shared" ref="W45:Y45" si="39">V45</f>
        <v>2.5</v>
      </c>
      <c r="X45" s="877">
        <f t="shared" si="39"/>
        <v>2.5</v>
      </c>
      <c r="Y45" s="879">
        <f t="shared" si="39"/>
        <v>2.5</v>
      </c>
      <c r="Z45" s="517" t="s">
        <v>304</v>
      </c>
    </row>
    <row r="46" spans="1:26" ht="15.75" x14ac:dyDescent="0.2">
      <c r="A46" s="567" t="s">
        <v>328</v>
      </c>
      <c r="B46" s="572">
        <v>18</v>
      </c>
      <c r="C46" s="311">
        <v>21</v>
      </c>
      <c r="D46" s="311">
        <v>25</v>
      </c>
      <c r="E46" s="573">
        <v>27</v>
      </c>
      <c r="F46" s="320">
        <v>80</v>
      </c>
      <c r="G46" s="523" t="e">
        <f t="shared" si="15"/>
        <v>#NUM!</v>
      </c>
      <c r="H46" s="522" t="e">
        <f t="shared" si="23"/>
        <v>#NUM!</v>
      </c>
      <c r="I46" s="521" t="e">
        <f t="shared" si="23"/>
        <v>#NUM!</v>
      </c>
      <c r="J46" s="521" t="e">
        <f t="shared" si="23"/>
        <v>#NUM!</v>
      </c>
      <c r="K46" s="521" t="e">
        <f t="shared" si="23"/>
        <v>#NUM!</v>
      </c>
      <c r="L46" s="521" t="e">
        <f t="shared" si="23"/>
        <v>#NUM!</v>
      </c>
      <c r="M46" s="521" t="e">
        <f t="shared" si="23"/>
        <v>#NUM!</v>
      </c>
      <c r="N46" s="521" t="e">
        <f t="shared" si="23"/>
        <v>#NUM!</v>
      </c>
      <c r="O46" s="521" t="e">
        <f t="shared" si="23"/>
        <v>#NUM!</v>
      </c>
      <c r="P46" s="633" t="e">
        <f t="shared" si="23"/>
        <v>#NUM!</v>
      </c>
      <c r="Q46" s="751" t="e">
        <f t="shared" si="16"/>
        <v>#NUM!</v>
      </c>
      <c r="R46" s="752" t="e">
        <f t="shared" si="16"/>
        <v>#NUM!</v>
      </c>
      <c r="S46" s="752" t="e">
        <f t="shared" si="16"/>
        <v>#NUM!</v>
      </c>
      <c r="T46" s="756" t="e">
        <f t="shared" si="16"/>
        <v>#NUM!</v>
      </c>
      <c r="U46" s="878">
        <f t="shared" si="17"/>
        <v>2.5</v>
      </c>
      <c r="V46" s="877">
        <f t="shared" si="17"/>
        <v>2.5</v>
      </c>
      <c r="W46" s="877">
        <f t="shared" ref="W46:Y46" si="40">V46</f>
        <v>2.5</v>
      </c>
      <c r="X46" s="877">
        <f t="shared" si="40"/>
        <v>2.5</v>
      </c>
      <c r="Y46" s="879">
        <f t="shared" si="40"/>
        <v>2.5</v>
      </c>
      <c r="Z46" s="517" t="s">
        <v>304</v>
      </c>
    </row>
    <row r="47" spans="1:26" ht="16.5" thickBot="1" x14ac:dyDescent="0.25">
      <c r="A47" s="568" t="s">
        <v>329</v>
      </c>
      <c r="B47" s="574">
        <v>18</v>
      </c>
      <c r="C47" s="575">
        <v>21</v>
      </c>
      <c r="D47" s="575">
        <v>25</v>
      </c>
      <c r="E47" s="576">
        <v>27</v>
      </c>
      <c r="F47" s="320">
        <v>80</v>
      </c>
      <c r="G47" s="523" t="e">
        <f t="shared" si="15"/>
        <v>#NUM!</v>
      </c>
      <c r="H47" s="522" t="e">
        <f t="shared" si="23"/>
        <v>#NUM!</v>
      </c>
      <c r="I47" s="521" t="e">
        <f t="shared" si="23"/>
        <v>#NUM!</v>
      </c>
      <c r="J47" s="521" t="e">
        <f t="shared" si="23"/>
        <v>#NUM!</v>
      </c>
      <c r="K47" s="521" t="e">
        <f t="shared" si="23"/>
        <v>#NUM!</v>
      </c>
      <c r="L47" s="521" t="e">
        <f t="shared" si="23"/>
        <v>#NUM!</v>
      </c>
      <c r="M47" s="521" t="e">
        <f t="shared" si="23"/>
        <v>#NUM!</v>
      </c>
      <c r="N47" s="521" t="e">
        <f t="shared" si="23"/>
        <v>#NUM!</v>
      </c>
      <c r="O47" s="521" t="e">
        <f t="shared" si="23"/>
        <v>#NUM!</v>
      </c>
      <c r="P47" s="633" t="e">
        <f t="shared" si="23"/>
        <v>#NUM!</v>
      </c>
      <c r="Q47" s="751" t="e">
        <f t="shared" si="16"/>
        <v>#NUM!</v>
      </c>
      <c r="R47" s="752" t="e">
        <f t="shared" si="16"/>
        <v>#NUM!</v>
      </c>
      <c r="S47" s="752" t="e">
        <f t="shared" si="16"/>
        <v>#NUM!</v>
      </c>
      <c r="T47" s="756" t="e">
        <f t="shared" si="16"/>
        <v>#NUM!</v>
      </c>
      <c r="U47" s="878">
        <f t="shared" si="17"/>
        <v>2.5</v>
      </c>
      <c r="V47" s="877">
        <f t="shared" si="17"/>
        <v>2.5</v>
      </c>
      <c r="W47" s="877">
        <f t="shared" ref="W47:Y47" si="41">V47</f>
        <v>2.5</v>
      </c>
      <c r="X47" s="877">
        <f t="shared" si="41"/>
        <v>2.5</v>
      </c>
      <c r="Y47" s="879">
        <f t="shared" si="41"/>
        <v>2.5</v>
      </c>
      <c r="Z47" s="517" t="s">
        <v>304</v>
      </c>
    </row>
    <row r="48" spans="1:26" ht="15.75" x14ac:dyDescent="0.2">
      <c r="A48" s="567" t="s">
        <v>280</v>
      </c>
      <c r="B48" s="569">
        <v>18</v>
      </c>
      <c r="C48" s="570">
        <v>21</v>
      </c>
      <c r="D48" s="570">
        <v>25</v>
      </c>
      <c r="E48" s="571">
        <v>27</v>
      </c>
      <c r="F48" s="320">
        <v>80</v>
      </c>
      <c r="G48" s="523" t="e">
        <f t="shared" si="15"/>
        <v>#NUM!</v>
      </c>
      <c r="H48" s="522" t="e">
        <f t="shared" si="23"/>
        <v>#NUM!</v>
      </c>
      <c r="I48" s="521" t="e">
        <f t="shared" si="23"/>
        <v>#NUM!</v>
      </c>
      <c r="J48" s="521" t="e">
        <f t="shared" si="23"/>
        <v>#NUM!</v>
      </c>
      <c r="K48" s="521" t="e">
        <f t="shared" si="23"/>
        <v>#NUM!</v>
      </c>
      <c r="L48" s="521" t="e">
        <f t="shared" si="23"/>
        <v>#NUM!</v>
      </c>
      <c r="M48" s="521" t="e">
        <f t="shared" si="23"/>
        <v>#NUM!</v>
      </c>
      <c r="N48" s="521" t="e">
        <f t="shared" si="23"/>
        <v>#NUM!</v>
      </c>
      <c r="O48" s="521" t="e">
        <f t="shared" si="23"/>
        <v>#NUM!</v>
      </c>
      <c r="P48" s="633" t="e">
        <f t="shared" si="23"/>
        <v>#NUM!</v>
      </c>
      <c r="Q48" s="751" t="e">
        <f t="shared" si="16"/>
        <v>#NUM!</v>
      </c>
      <c r="R48" s="752" t="e">
        <f t="shared" si="16"/>
        <v>#NUM!</v>
      </c>
      <c r="S48" s="752" t="e">
        <f t="shared" si="16"/>
        <v>#NUM!</v>
      </c>
      <c r="T48" s="756" t="e">
        <f t="shared" si="16"/>
        <v>#NUM!</v>
      </c>
      <c r="U48" s="878">
        <f t="shared" si="17"/>
        <v>2.5</v>
      </c>
      <c r="V48" s="877">
        <f t="shared" si="17"/>
        <v>2.5</v>
      </c>
      <c r="W48" s="877">
        <f t="shared" ref="W48:Y48" si="42">V48</f>
        <v>2.5</v>
      </c>
      <c r="X48" s="877">
        <f t="shared" si="42"/>
        <v>2.5</v>
      </c>
      <c r="Y48" s="879">
        <f t="shared" si="42"/>
        <v>2.5</v>
      </c>
      <c r="Z48" s="517" t="s">
        <v>304</v>
      </c>
    </row>
    <row r="49" spans="1:26" ht="15.75" x14ac:dyDescent="0.2">
      <c r="A49" s="567" t="s">
        <v>281</v>
      </c>
      <c r="B49" s="572">
        <v>18</v>
      </c>
      <c r="C49" s="311">
        <v>21</v>
      </c>
      <c r="D49" s="311">
        <v>25</v>
      </c>
      <c r="E49" s="573">
        <v>27</v>
      </c>
      <c r="F49" s="320">
        <v>80</v>
      </c>
      <c r="G49" s="523" t="e">
        <f t="shared" si="15"/>
        <v>#NUM!</v>
      </c>
      <c r="H49" s="522" t="e">
        <f t="shared" si="23"/>
        <v>#NUM!</v>
      </c>
      <c r="I49" s="521" t="e">
        <f t="shared" si="23"/>
        <v>#NUM!</v>
      </c>
      <c r="J49" s="521" t="e">
        <f t="shared" si="23"/>
        <v>#NUM!</v>
      </c>
      <c r="K49" s="521" t="e">
        <f t="shared" si="23"/>
        <v>#NUM!</v>
      </c>
      <c r="L49" s="521" t="e">
        <f t="shared" si="23"/>
        <v>#NUM!</v>
      </c>
      <c r="M49" s="521" t="e">
        <f t="shared" si="23"/>
        <v>#NUM!</v>
      </c>
      <c r="N49" s="521" t="e">
        <f t="shared" si="23"/>
        <v>#NUM!</v>
      </c>
      <c r="O49" s="521" t="e">
        <f t="shared" si="23"/>
        <v>#NUM!</v>
      </c>
      <c r="P49" s="633" t="e">
        <f t="shared" si="23"/>
        <v>#NUM!</v>
      </c>
      <c r="Q49" s="751" t="e">
        <f t="shared" si="16"/>
        <v>#NUM!</v>
      </c>
      <c r="R49" s="752" t="e">
        <f t="shared" si="16"/>
        <v>#NUM!</v>
      </c>
      <c r="S49" s="752" t="e">
        <f t="shared" si="16"/>
        <v>#NUM!</v>
      </c>
      <c r="T49" s="756" t="e">
        <f t="shared" si="16"/>
        <v>#NUM!</v>
      </c>
      <c r="U49" s="878">
        <f t="shared" si="17"/>
        <v>2.5</v>
      </c>
      <c r="V49" s="877">
        <f t="shared" si="17"/>
        <v>2.5</v>
      </c>
      <c r="W49" s="877">
        <f t="shared" ref="W49:Y49" si="43">V49</f>
        <v>2.5</v>
      </c>
      <c r="X49" s="877">
        <f t="shared" si="43"/>
        <v>2.5</v>
      </c>
      <c r="Y49" s="879">
        <f t="shared" si="43"/>
        <v>2.5</v>
      </c>
      <c r="Z49" s="517" t="s">
        <v>304</v>
      </c>
    </row>
    <row r="50" spans="1:26" ht="15.75" x14ac:dyDescent="0.2">
      <c r="A50" s="567" t="s">
        <v>282</v>
      </c>
      <c r="B50" s="572">
        <v>18</v>
      </c>
      <c r="C50" s="311">
        <v>21</v>
      </c>
      <c r="D50" s="311">
        <v>25</v>
      </c>
      <c r="E50" s="573">
        <v>27</v>
      </c>
      <c r="F50" s="320">
        <v>80</v>
      </c>
      <c r="G50" s="523" t="e">
        <f t="shared" si="15"/>
        <v>#NUM!</v>
      </c>
      <c r="H50" s="522" t="e">
        <f t="shared" si="23"/>
        <v>#NUM!</v>
      </c>
      <c r="I50" s="521" t="e">
        <f t="shared" si="23"/>
        <v>#NUM!</v>
      </c>
      <c r="J50" s="521" t="e">
        <f t="shared" si="23"/>
        <v>#NUM!</v>
      </c>
      <c r="K50" s="521" t="e">
        <f t="shared" si="23"/>
        <v>#NUM!</v>
      </c>
      <c r="L50" s="521" t="e">
        <f t="shared" si="23"/>
        <v>#NUM!</v>
      </c>
      <c r="M50" s="521" t="e">
        <f t="shared" si="23"/>
        <v>#NUM!</v>
      </c>
      <c r="N50" s="521" t="e">
        <f t="shared" si="23"/>
        <v>#NUM!</v>
      </c>
      <c r="O50" s="521" t="e">
        <f t="shared" si="23"/>
        <v>#NUM!</v>
      </c>
      <c r="P50" s="633" t="e">
        <f t="shared" si="23"/>
        <v>#NUM!</v>
      </c>
      <c r="Q50" s="751" t="e">
        <f t="shared" si="16"/>
        <v>#NUM!</v>
      </c>
      <c r="R50" s="752" t="e">
        <f t="shared" si="16"/>
        <v>#NUM!</v>
      </c>
      <c r="S50" s="752" t="e">
        <f t="shared" si="16"/>
        <v>#NUM!</v>
      </c>
      <c r="T50" s="756" t="e">
        <f t="shared" si="16"/>
        <v>#NUM!</v>
      </c>
      <c r="U50" s="878">
        <f t="shared" si="17"/>
        <v>2.5</v>
      </c>
      <c r="V50" s="877">
        <f t="shared" si="17"/>
        <v>2.5</v>
      </c>
      <c r="W50" s="877">
        <f t="shared" ref="W50:Y50" si="44">V50</f>
        <v>2.5</v>
      </c>
      <c r="X50" s="877">
        <f t="shared" si="44"/>
        <v>2.5</v>
      </c>
      <c r="Y50" s="879">
        <f t="shared" si="44"/>
        <v>2.5</v>
      </c>
      <c r="Z50" s="517" t="s">
        <v>304</v>
      </c>
    </row>
    <row r="51" spans="1:26" ht="15.75" x14ac:dyDescent="0.2">
      <c r="A51" s="567" t="s">
        <v>283</v>
      </c>
      <c r="B51" s="572">
        <v>18</v>
      </c>
      <c r="C51" s="311">
        <v>21</v>
      </c>
      <c r="D51" s="311">
        <v>25</v>
      </c>
      <c r="E51" s="573">
        <v>27</v>
      </c>
      <c r="F51" s="320">
        <v>80</v>
      </c>
      <c r="G51" s="523" t="e">
        <f t="shared" si="15"/>
        <v>#NUM!</v>
      </c>
      <c r="H51" s="522" t="e">
        <f t="shared" si="23"/>
        <v>#NUM!</v>
      </c>
      <c r="I51" s="521" t="e">
        <f t="shared" si="23"/>
        <v>#NUM!</v>
      </c>
      <c r="J51" s="521" t="e">
        <f t="shared" si="23"/>
        <v>#NUM!</v>
      </c>
      <c r="K51" s="521" t="e">
        <f t="shared" si="23"/>
        <v>#NUM!</v>
      </c>
      <c r="L51" s="521" t="e">
        <f t="shared" si="23"/>
        <v>#NUM!</v>
      </c>
      <c r="M51" s="521" t="e">
        <f t="shared" si="23"/>
        <v>#NUM!</v>
      </c>
      <c r="N51" s="521" t="e">
        <f t="shared" si="23"/>
        <v>#NUM!</v>
      </c>
      <c r="O51" s="521" t="e">
        <f t="shared" si="23"/>
        <v>#NUM!</v>
      </c>
      <c r="P51" s="633" t="e">
        <f t="shared" si="23"/>
        <v>#NUM!</v>
      </c>
      <c r="Q51" s="751" t="e">
        <f t="shared" si="16"/>
        <v>#NUM!</v>
      </c>
      <c r="R51" s="752" t="e">
        <f t="shared" si="16"/>
        <v>#NUM!</v>
      </c>
      <c r="S51" s="752" t="e">
        <f t="shared" si="16"/>
        <v>#NUM!</v>
      </c>
      <c r="T51" s="756" t="e">
        <f t="shared" si="16"/>
        <v>#NUM!</v>
      </c>
      <c r="U51" s="878">
        <f t="shared" si="17"/>
        <v>2.5</v>
      </c>
      <c r="V51" s="877">
        <f t="shared" si="17"/>
        <v>2.5</v>
      </c>
      <c r="W51" s="877">
        <f t="shared" ref="W51:Y51" si="45">V51</f>
        <v>2.5</v>
      </c>
      <c r="X51" s="877">
        <f t="shared" si="45"/>
        <v>2.5</v>
      </c>
      <c r="Y51" s="879">
        <f t="shared" si="45"/>
        <v>2.5</v>
      </c>
      <c r="Z51" s="517" t="s">
        <v>304</v>
      </c>
    </row>
    <row r="52" spans="1:26" ht="15.75" x14ac:dyDescent="0.2">
      <c r="A52" s="567" t="s">
        <v>284</v>
      </c>
      <c r="B52" s="572">
        <v>18</v>
      </c>
      <c r="C52" s="311">
        <v>21</v>
      </c>
      <c r="D52" s="311">
        <v>25</v>
      </c>
      <c r="E52" s="573">
        <v>27</v>
      </c>
      <c r="F52" s="320">
        <v>80</v>
      </c>
      <c r="G52" s="523" t="e">
        <f t="shared" si="15"/>
        <v>#NUM!</v>
      </c>
      <c r="H52" s="522" t="e">
        <f t="shared" si="23"/>
        <v>#NUM!</v>
      </c>
      <c r="I52" s="521" t="e">
        <f t="shared" si="23"/>
        <v>#NUM!</v>
      </c>
      <c r="J52" s="521" t="e">
        <f t="shared" si="23"/>
        <v>#NUM!</v>
      </c>
      <c r="K52" s="521" t="e">
        <f t="shared" si="23"/>
        <v>#NUM!</v>
      </c>
      <c r="L52" s="521" t="e">
        <f t="shared" si="23"/>
        <v>#NUM!</v>
      </c>
      <c r="M52" s="521" t="e">
        <f t="shared" si="23"/>
        <v>#NUM!</v>
      </c>
      <c r="N52" s="521" t="e">
        <f t="shared" si="23"/>
        <v>#NUM!</v>
      </c>
      <c r="O52" s="521" t="e">
        <f t="shared" si="23"/>
        <v>#NUM!</v>
      </c>
      <c r="P52" s="633" t="e">
        <f t="shared" si="23"/>
        <v>#NUM!</v>
      </c>
      <c r="Q52" s="751" t="e">
        <f t="shared" si="16"/>
        <v>#NUM!</v>
      </c>
      <c r="R52" s="752" t="e">
        <f t="shared" si="16"/>
        <v>#NUM!</v>
      </c>
      <c r="S52" s="752" t="e">
        <f t="shared" si="16"/>
        <v>#NUM!</v>
      </c>
      <c r="T52" s="756" t="e">
        <f t="shared" si="16"/>
        <v>#NUM!</v>
      </c>
      <c r="U52" s="878">
        <f t="shared" si="17"/>
        <v>2.5</v>
      </c>
      <c r="V52" s="877">
        <f t="shared" si="17"/>
        <v>2.5</v>
      </c>
      <c r="W52" s="877">
        <f t="shared" ref="W52:Y52" si="46">V52</f>
        <v>2.5</v>
      </c>
      <c r="X52" s="877">
        <f t="shared" si="46"/>
        <v>2.5</v>
      </c>
      <c r="Y52" s="879">
        <f t="shared" si="46"/>
        <v>2.5</v>
      </c>
      <c r="Z52" s="517" t="s">
        <v>304</v>
      </c>
    </row>
    <row r="53" spans="1:26" ht="15.75" x14ac:dyDescent="0.2">
      <c r="A53" s="567" t="s">
        <v>285</v>
      </c>
      <c r="B53" s="572">
        <v>18</v>
      </c>
      <c r="C53" s="311">
        <v>21</v>
      </c>
      <c r="D53" s="311">
        <v>25</v>
      </c>
      <c r="E53" s="573">
        <v>27</v>
      </c>
      <c r="F53" s="320">
        <v>80</v>
      </c>
      <c r="G53" s="523" t="e">
        <f t="shared" si="15"/>
        <v>#NUM!</v>
      </c>
      <c r="H53" s="522" t="e">
        <f t="shared" si="23"/>
        <v>#NUM!</v>
      </c>
      <c r="I53" s="521" t="e">
        <f t="shared" si="23"/>
        <v>#NUM!</v>
      </c>
      <c r="J53" s="521" t="e">
        <f t="shared" si="23"/>
        <v>#NUM!</v>
      </c>
      <c r="K53" s="521" t="e">
        <f t="shared" si="23"/>
        <v>#NUM!</v>
      </c>
      <c r="L53" s="521" t="e">
        <f t="shared" si="23"/>
        <v>#NUM!</v>
      </c>
      <c r="M53" s="521" t="e">
        <f t="shared" si="23"/>
        <v>#NUM!</v>
      </c>
      <c r="N53" s="521" t="e">
        <f t="shared" si="23"/>
        <v>#NUM!</v>
      </c>
      <c r="O53" s="521" t="e">
        <f t="shared" si="23"/>
        <v>#NUM!</v>
      </c>
      <c r="P53" s="633" t="e">
        <f t="shared" si="23"/>
        <v>#NUM!</v>
      </c>
      <c r="Q53" s="751" t="e">
        <f t="shared" si="16"/>
        <v>#NUM!</v>
      </c>
      <c r="R53" s="752" t="e">
        <f t="shared" si="16"/>
        <v>#NUM!</v>
      </c>
      <c r="S53" s="752" t="e">
        <f t="shared" si="16"/>
        <v>#NUM!</v>
      </c>
      <c r="T53" s="756" t="e">
        <f t="shared" si="16"/>
        <v>#NUM!</v>
      </c>
      <c r="U53" s="878">
        <f t="shared" si="17"/>
        <v>2.5</v>
      </c>
      <c r="V53" s="877">
        <f t="shared" si="17"/>
        <v>2.5</v>
      </c>
      <c r="W53" s="877">
        <f t="shared" ref="W53:Y53" si="47">V53</f>
        <v>2.5</v>
      </c>
      <c r="X53" s="877">
        <f t="shared" si="47"/>
        <v>2.5</v>
      </c>
      <c r="Y53" s="879">
        <f t="shared" si="47"/>
        <v>2.5</v>
      </c>
      <c r="Z53" s="517" t="s">
        <v>304</v>
      </c>
    </row>
    <row r="54" spans="1:26" ht="15.75" x14ac:dyDescent="0.2">
      <c r="A54" s="567" t="s">
        <v>286</v>
      </c>
      <c r="B54" s="572">
        <v>18</v>
      </c>
      <c r="C54" s="311">
        <v>21</v>
      </c>
      <c r="D54" s="311">
        <v>25</v>
      </c>
      <c r="E54" s="573">
        <v>27</v>
      </c>
      <c r="F54" s="320">
        <v>80</v>
      </c>
      <c r="G54" s="523" t="e">
        <f t="shared" si="15"/>
        <v>#NUM!</v>
      </c>
      <c r="H54" s="522" t="e">
        <f t="shared" si="23"/>
        <v>#NUM!</v>
      </c>
      <c r="I54" s="521" t="e">
        <f t="shared" si="23"/>
        <v>#NUM!</v>
      </c>
      <c r="J54" s="521" t="e">
        <f t="shared" si="23"/>
        <v>#NUM!</v>
      </c>
      <c r="K54" s="521" t="e">
        <f t="shared" si="23"/>
        <v>#NUM!</v>
      </c>
      <c r="L54" s="521" t="e">
        <f t="shared" si="23"/>
        <v>#NUM!</v>
      </c>
      <c r="M54" s="521" t="e">
        <f t="shared" si="23"/>
        <v>#NUM!</v>
      </c>
      <c r="N54" s="521" t="e">
        <f t="shared" si="23"/>
        <v>#NUM!</v>
      </c>
      <c r="O54" s="521" t="e">
        <f t="shared" si="23"/>
        <v>#NUM!</v>
      </c>
      <c r="P54" s="633" t="e">
        <f t="shared" si="23"/>
        <v>#NUM!</v>
      </c>
      <c r="Q54" s="751" t="e">
        <f t="shared" si="16"/>
        <v>#NUM!</v>
      </c>
      <c r="R54" s="752" t="e">
        <f t="shared" si="16"/>
        <v>#NUM!</v>
      </c>
      <c r="S54" s="752" t="e">
        <f t="shared" si="16"/>
        <v>#NUM!</v>
      </c>
      <c r="T54" s="756" t="e">
        <f t="shared" si="16"/>
        <v>#NUM!</v>
      </c>
      <c r="U54" s="878">
        <f t="shared" si="17"/>
        <v>2.5</v>
      </c>
      <c r="V54" s="877">
        <f t="shared" si="17"/>
        <v>2.5</v>
      </c>
      <c r="W54" s="877">
        <f t="shared" ref="W54:Y54" si="48">V54</f>
        <v>2.5</v>
      </c>
      <c r="X54" s="877">
        <f t="shared" si="48"/>
        <v>2.5</v>
      </c>
      <c r="Y54" s="879">
        <f t="shared" si="48"/>
        <v>2.5</v>
      </c>
      <c r="Z54" s="517" t="s">
        <v>304</v>
      </c>
    </row>
    <row r="55" spans="1:26" ht="15.75" x14ac:dyDescent="0.2">
      <c r="A55" s="567" t="s">
        <v>287</v>
      </c>
      <c r="B55" s="572">
        <v>18</v>
      </c>
      <c r="C55" s="311">
        <v>21</v>
      </c>
      <c r="D55" s="311">
        <v>25</v>
      </c>
      <c r="E55" s="573">
        <v>27</v>
      </c>
      <c r="F55" s="320">
        <v>80</v>
      </c>
      <c r="G55" s="523" t="e">
        <f t="shared" si="15"/>
        <v>#NUM!</v>
      </c>
      <c r="H55" s="522" t="e">
        <f t="shared" si="23"/>
        <v>#NUM!</v>
      </c>
      <c r="I55" s="521" t="e">
        <f t="shared" si="23"/>
        <v>#NUM!</v>
      </c>
      <c r="J55" s="521" t="e">
        <f t="shared" si="23"/>
        <v>#NUM!</v>
      </c>
      <c r="K55" s="521" t="e">
        <f t="shared" si="23"/>
        <v>#NUM!</v>
      </c>
      <c r="L55" s="521" t="e">
        <f t="shared" si="23"/>
        <v>#NUM!</v>
      </c>
      <c r="M55" s="521" t="e">
        <f t="shared" si="23"/>
        <v>#NUM!</v>
      </c>
      <c r="N55" s="521" t="e">
        <f t="shared" si="23"/>
        <v>#NUM!</v>
      </c>
      <c r="O55" s="521" t="e">
        <f t="shared" si="23"/>
        <v>#NUM!</v>
      </c>
      <c r="P55" s="633" t="e">
        <f t="shared" si="23"/>
        <v>#NUM!</v>
      </c>
      <c r="Q55" s="751" t="e">
        <f t="shared" si="16"/>
        <v>#NUM!</v>
      </c>
      <c r="R55" s="752" t="e">
        <f t="shared" si="16"/>
        <v>#NUM!</v>
      </c>
      <c r="S55" s="752" t="e">
        <f t="shared" si="16"/>
        <v>#NUM!</v>
      </c>
      <c r="T55" s="756" t="e">
        <f t="shared" si="16"/>
        <v>#NUM!</v>
      </c>
      <c r="U55" s="878">
        <f t="shared" si="17"/>
        <v>2.5</v>
      </c>
      <c r="V55" s="877">
        <f t="shared" si="17"/>
        <v>2.5</v>
      </c>
      <c r="W55" s="877">
        <f t="shared" ref="W55:Y55" si="49">V55</f>
        <v>2.5</v>
      </c>
      <c r="X55" s="877">
        <f t="shared" si="49"/>
        <v>2.5</v>
      </c>
      <c r="Y55" s="879">
        <f t="shared" si="49"/>
        <v>2.5</v>
      </c>
      <c r="Z55" s="517" t="s">
        <v>304</v>
      </c>
    </row>
    <row r="56" spans="1:26" ht="15.75" x14ac:dyDescent="0.2">
      <c r="A56" s="567" t="s">
        <v>288</v>
      </c>
      <c r="B56" s="572">
        <v>18</v>
      </c>
      <c r="C56" s="311">
        <v>21</v>
      </c>
      <c r="D56" s="311">
        <v>25</v>
      </c>
      <c r="E56" s="573">
        <v>27</v>
      </c>
      <c r="F56" s="320">
        <v>80</v>
      </c>
      <c r="G56" s="523" t="e">
        <f t="shared" si="15"/>
        <v>#NUM!</v>
      </c>
      <c r="H56" s="522" t="e">
        <f t="shared" si="23"/>
        <v>#NUM!</v>
      </c>
      <c r="I56" s="521" t="e">
        <f t="shared" si="23"/>
        <v>#NUM!</v>
      </c>
      <c r="J56" s="521" t="e">
        <f t="shared" si="23"/>
        <v>#NUM!</v>
      </c>
      <c r="K56" s="521" t="e">
        <f t="shared" si="23"/>
        <v>#NUM!</v>
      </c>
      <c r="L56" s="521" t="e">
        <f t="shared" si="23"/>
        <v>#NUM!</v>
      </c>
      <c r="M56" s="521" t="e">
        <f t="shared" si="23"/>
        <v>#NUM!</v>
      </c>
      <c r="N56" s="521" t="e">
        <f t="shared" si="23"/>
        <v>#NUM!</v>
      </c>
      <c r="O56" s="521" t="e">
        <f t="shared" si="23"/>
        <v>#NUM!</v>
      </c>
      <c r="P56" s="633" t="e">
        <f t="shared" si="23"/>
        <v>#NUM!</v>
      </c>
      <c r="Q56" s="751" t="e">
        <f t="shared" si="16"/>
        <v>#NUM!</v>
      </c>
      <c r="R56" s="752" t="e">
        <f t="shared" si="16"/>
        <v>#NUM!</v>
      </c>
      <c r="S56" s="752" t="e">
        <f t="shared" si="16"/>
        <v>#NUM!</v>
      </c>
      <c r="T56" s="756" t="e">
        <f t="shared" si="16"/>
        <v>#NUM!</v>
      </c>
      <c r="U56" s="878">
        <f t="shared" si="17"/>
        <v>2.5</v>
      </c>
      <c r="V56" s="877">
        <f t="shared" si="17"/>
        <v>2.5</v>
      </c>
      <c r="W56" s="877">
        <f t="shared" ref="W56:Y56" si="50">V56</f>
        <v>2.5</v>
      </c>
      <c r="X56" s="877">
        <f t="shared" si="50"/>
        <v>2.5</v>
      </c>
      <c r="Y56" s="879">
        <f t="shared" si="50"/>
        <v>2.5</v>
      </c>
      <c r="Z56" s="517" t="s">
        <v>304</v>
      </c>
    </row>
    <row r="57" spans="1:26" ht="15.75" x14ac:dyDescent="0.2">
      <c r="A57" s="567" t="s">
        <v>291</v>
      </c>
      <c r="B57" s="572">
        <v>18</v>
      </c>
      <c r="C57" s="311">
        <v>21</v>
      </c>
      <c r="D57" s="311">
        <v>25</v>
      </c>
      <c r="E57" s="573">
        <v>27</v>
      </c>
      <c r="F57" s="320">
        <v>80</v>
      </c>
      <c r="G57" s="523" t="e">
        <f t="shared" si="15"/>
        <v>#NUM!</v>
      </c>
      <c r="H57" s="522" t="e">
        <f t="shared" si="23"/>
        <v>#NUM!</v>
      </c>
      <c r="I57" s="521" t="e">
        <f t="shared" si="23"/>
        <v>#NUM!</v>
      </c>
      <c r="J57" s="521" t="e">
        <f t="shared" si="23"/>
        <v>#NUM!</v>
      </c>
      <c r="K57" s="521" t="e">
        <f t="shared" si="23"/>
        <v>#NUM!</v>
      </c>
      <c r="L57" s="521" t="e">
        <f t="shared" si="23"/>
        <v>#NUM!</v>
      </c>
      <c r="M57" s="521" t="e">
        <f t="shared" si="23"/>
        <v>#NUM!</v>
      </c>
      <c r="N57" s="521" t="e">
        <f t="shared" si="23"/>
        <v>#NUM!</v>
      </c>
      <c r="O57" s="521" t="e">
        <f t="shared" si="23"/>
        <v>#NUM!</v>
      </c>
      <c r="P57" s="633" t="e">
        <f t="shared" si="23"/>
        <v>#NUM!</v>
      </c>
      <c r="Q57" s="751" t="e">
        <f t="shared" si="16"/>
        <v>#NUM!</v>
      </c>
      <c r="R57" s="752" t="e">
        <f t="shared" si="16"/>
        <v>#NUM!</v>
      </c>
      <c r="S57" s="752" t="e">
        <f t="shared" si="16"/>
        <v>#NUM!</v>
      </c>
      <c r="T57" s="756" t="e">
        <f t="shared" si="16"/>
        <v>#NUM!</v>
      </c>
      <c r="U57" s="878">
        <f t="shared" si="17"/>
        <v>2.5</v>
      </c>
      <c r="V57" s="877">
        <f t="shared" si="17"/>
        <v>2.5</v>
      </c>
      <c r="W57" s="877">
        <f t="shared" ref="W57:Y57" si="51">V57</f>
        <v>2.5</v>
      </c>
      <c r="X57" s="877">
        <f t="shared" si="51"/>
        <v>2.5</v>
      </c>
      <c r="Y57" s="879">
        <f t="shared" si="51"/>
        <v>2.5</v>
      </c>
      <c r="Z57" s="517" t="s">
        <v>304</v>
      </c>
    </row>
    <row r="58" spans="1:26" ht="15.75" x14ac:dyDescent="0.2">
      <c r="A58" s="567" t="s">
        <v>289</v>
      </c>
      <c r="B58" s="572">
        <v>18</v>
      </c>
      <c r="C58" s="311">
        <v>21</v>
      </c>
      <c r="D58" s="311">
        <v>25</v>
      </c>
      <c r="E58" s="573">
        <v>27</v>
      </c>
      <c r="F58" s="320">
        <v>80</v>
      </c>
      <c r="G58" s="523" t="e">
        <f t="shared" si="15"/>
        <v>#NUM!</v>
      </c>
      <c r="H58" s="522" t="e">
        <f t="shared" si="23"/>
        <v>#NUM!</v>
      </c>
      <c r="I58" s="521" t="e">
        <f t="shared" si="23"/>
        <v>#NUM!</v>
      </c>
      <c r="J58" s="521" t="e">
        <f t="shared" si="23"/>
        <v>#NUM!</v>
      </c>
      <c r="K58" s="521" t="e">
        <f t="shared" ref="I58:P71" si="52">ROUND(K$6/6.2*$G58,2)</f>
        <v>#NUM!</v>
      </c>
      <c r="L58" s="521" t="e">
        <f t="shared" si="52"/>
        <v>#NUM!</v>
      </c>
      <c r="M58" s="521" t="e">
        <f t="shared" si="52"/>
        <v>#NUM!</v>
      </c>
      <c r="N58" s="521" t="e">
        <f t="shared" si="52"/>
        <v>#NUM!</v>
      </c>
      <c r="O58" s="521" t="e">
        <f t="shared" si="52"/>
        <v>#NUM!</v>
      </c>
      <c r="P58" s="633" t="e">
        <f t="shared" si="52"/>
        <v>#NUM!</v>
      </c>
      <c r="Q58" s="751" t="e">
        <f t="shared" si="16"/>
        <v>#NUM!</v>
      </c>
      <c r="R58" s="752" t="e">
        <f t="shared" si="16"/>
        <v>#NUM!</v>
      </c>
      <c r="S58" s="752" t="e">
        <f t="shared" si="16"/>
        <v>#NUM!</v>
      </c>
      <c r="T58" s="756" t="e">
        <f t="shared" si="16"/>
        <v>#NUM!</v>
      </c>
      <c r="U58" s="878">
        <f t="shared" si="17"/>
        <v>2.5</v>
      </c>
      <c r="V58" s="877">
        <f t="shared" si="17"/>
        <v>2.5</v>
      </c>
      <c r="W58" s="877">
        <f t="shared" ref="W58:Y58" si="53">V58</f>
        <v>2.5</v>
      </c>
      <c r="X58" s="877">
        <f t="shared" si="53"/>
        <v>2.5</v>
      </c>
      <c r="Y58" s="879">
        <f t="shared" si="53"/>
        <v>2.5</v>
      </c>
      <c r="Z58" s="517" t="s">
        <v>304</v>
      </c>
    </row>
    <row r="59" spans="1:26" ht="16.5" thickBot="1" x14ac:dyDescent="0.25">
      <c r="A59" s="577" t="s">
        <v>290</v>
      </c>
      <c r="B59" s="574">
        <v>18</v>
      </c>
      <c r="C59" s="575">
        <v>21</v>
      </c>
      <c r="D59" s="575">
        <v>25</v>
      </c>
      <c r="E59" s="576">
        <v>27</v>
      </c>
      <c r="F59" s="320">
        <v>80</v>
      </c>
      <c r="G59" s="523" t="e">
        <f t="shared" si="15"/>
        <v>#NUM!</v>
      </c>
      <c r="H59" s="522" t="e">
        <f t="shared" ref="H59:H71" si="54">ROUND(H$6/6.2*$G59,2)</f>
        <v>#NUM!</v>
      </c>
      <c r="I59" s="521" t="e">
        <f t="shared" si="52"/>
        <v>#NUM!</v>
      </c>
      <c r="J59" s="521" t="e">
        <f t="shared" si="52"/>
        <v>#NUM!</v>
      </c>
      <c r="K59" s="521" t="e">
        <f t="shared" si="52"/>
        <v>#NUM!</v>
      </c>
      <c r="L59" s="521" t="e">
        <f t="shared" si="52"/>
        <v>#NUM!</v>
      </c>
      <c r="M59" s="521" t="e">
        <f t="shared" si="52"/>
        <v>#NUM!</v>
      </c>
      <c r="N59" s="521" t="e">
        <f t="shared" si="52"/>
        <v>#NUM!</v>
      </c>
      <c r="O59" s="521" t="e">
        <f t="shared" si="52"/>
        <v>#NUM!</v>
      </c>
      <c r="P59" s="633" t="e">
        <f t="shared" si="52"/>
        <v>#NUM!</v>
      </c>
      <c r="Q59" s="751" t="e">
        <f t="shared" si="16"/>
        <v>#NUM!</v>
      </c>
      <c r="R59" s="752" t="e">
        <f t="shared" si="16"/>
        <v>#NUM!</v>
      </c>
      <c r="S59" s="752" t="e">
        <f t="shared" si="16"/>
        <v>#NUM!</v>
      </c>
      <c r="T59" s="756" t="e">
        <f t="shared" si="16"/>
        <v>#NUM!</v>
      </c>
      <c r="U59" s="878">
        <f t="shared" si="17"/>
        <v>2.5</v>
      </c>
      <c r="V59" s="877">
        <f t="shared" si="17"/>
        <v>2.5</v>
      </c>
      <c r="W59" s="877">
        <f t="shared" ref="W59:Y59" si="55">V59</f>
        <v>2.5</v>
      </c>
      <c r="X59" s="877">
        <f t="shared" si="55"/>
        <v>2.5</v>
      </c>
      <c r="Y59" s="879">
        <f t="shared" si="55"/>
        <v>2.5</v>
      </c>
      <c r="Z59" s="517" t="s">
        <v>304</v>
      </c>
    </row>
    <row r="60" spans="1:26" ht="15.75" x14ac:dyDescent="0.2">
      <c r="A60" s="566" t="s">
        <v>292</v>
      </c>
      <c r="B60" s="569">
        <v>18</v>
      </c>
      <c r="C60" s="570">
        <v>21</v>
      </c>
      <c r="D60" s="570">
        <v>25</v>
      </c>
      <c r="E60" s="571">
        <v>27</v>
      </c>
      <c r="F60" s="320">
        <v>80</v>
      </c>
      <c r="G60" s="523" t="e">
        <f t="shared" si="15"/>
        <v>#NUM!</v>
      </c>
      <c r="H60" s="522" t="e">
        <f t="shared" si="54"/>
        <v>#NUM!</v>
      </c>
      <c r="I60" s="521" t="e">
        <f t="shared" si="52"/>
        <v>#NUM!</v>
      </c>
      <c r="J60" s="521" t="e">
        <f t="shared" si="52"/>
        <v>#NUM!</v>
      </c>
      <c r="K60" s="521" t="e">
        <f t="shared" si="52"/>
        <v>#NUM!</v>
      </c>
      <c r="L60" s="521" t="e">
        <f t="shared" si="52"/>
        <v>#NUM!</v>
      </c>
      <c r="M60" s="521" t="e">
        <f t="shared" si="52"/>
        <v>#NUM!</v>
      </c>
      <c r="N60" s="521" t="e">
        <f t="shared" si="52"/>
        <v>#NUM!</v>
      </c>
      <c r="O60" s="521" t="e">
        <f t="shared" si="52"/>
        <v>#NUM!</v>
      </c>
      <c r="P60" s="633" t="e">
        <f t="shared" si="52"/>
        <v>#NUM!</v>
      </c>
      <c r="Q60" s="751" t="e">
        <f t="shared" si="16"/>
        <v>#NUM!</v>
      </c>
      <c r="R60" s="752" t="e">
        <f t="shared" si="16"/>
        <v>#NUM!</v>
      </c>
      <c r="S60" s="752" t="e">
        <f t="shared" si="16"/>
        <v>#NUM!</v>
      </c>
      <c r="T60" s="756" t="e">
        <f t="shared" si="16"/>
        <v>#NUM!</v>
      </c>
      <c r="U60" s="878">
        <f t="shared" si="17"/>
        <v>2.5</v>
      </c>
      <c r="V60" s="877">
        <f t="shared" si="17"/>
        <v>2.5</v>
      </c>
      <c r="W60" s="877">
        <f t="shared" ref="W60:Y60" si="56">V60</f>
        <v>2.5</v>
      </c>
      <c r="X60" s="877">
        <f t="shared" si="56"/>
        <v>2.5</v>
      </c>
      <c r="Y60" s="879">
        <f t="shared" si="56"/>
        <v>2.5</v>
      </c>
      <c r="Z60" s="517" t="s">
        <v>304</v>
      </c>
    </row>
    <row r="61" spans="1:26" ht="15.75" x14ac:dyDescent="0.2">
      <c r="A61" s="567" t="s">
        <v>293</v>
      </c>
      <c r="B61" s="572">
        <v>18</v>
      </c>
      <c r="C61" s="311">
        <v>21</v>
      </c>
      <c r="D61" s="311">
        <v>25</v>
      </c>
      <c r="E61" s="573">
        <v>27</v>
      </c>
      <c r="F61" s="320">
        <v>80</v>
      </c>
      <c r="G61" s="523" t="e">
        <f t="shared" si="15"/>
        <v>#NUM!</v>
      </c>
      <c r="H61" s="522" t="e">
        <f t="shared" si="54"/>
        <v>#NUM!</v>
      </c>
      <c r="I61" s="521" t="e">
        <f t="shared" si="52"/>
        <v>#NUM!</v>
      </c>
      <c r="J61" s="521" t="e">
        <f t="shared" si="52"/>
        <v>#NUM!</v>
      </c>
      <c r="K61" s="521" t="e">
        <f t="shared" si="52"/>
        <v>#NUM!</v>
      </c>
      <c r="L61" s="521" t="e">
        <f t="shared" si="52"/>
        <v>#NUM!</v>
      </c>
      <c r="M61" s="521" t="e">
        <f t="shared" si="52"/>
        <v>#NUM!</v>
      </c>
      <c r="N61" s="521" t="e">
        <f t="shared" si="52"/>
        <v>#NUM!</v>
      </c>
      <c r="O61" s="521" t="e">
        <f t="shared" si="52"/>
        <v>#NUM!</v>
      </c>
      <c r="P61" s="633" t="e">
        <f t="shared" si="52"/>
        <v>#NUM!</v>
      </c>
      <c r="Q61" s="751" t="e">
        <f t="shared" si="16"/>
        <v>#NUM!</v>
      </c>
      <c r="R61" s="752" t="e">
        <f t="shared" si="16"/>
        <v>#NUM!</v>
      </c>
      <c r="S61" s="752" t="e">
        <f t="shared" si="16"/>
        <v>#NUM!</v>
      </c>
      <c r="T61" s="756" t="e">
        <f t="shared" si="16"/>
        <v>#NUM!</v>
      </c>
      <c r="U61" s="878">
        <f t="shared" si="17"/>
        <v>2.5</v>
      </c>
      <c r="V61" s="877">
        <f t="shared" si="17"/>
        <v>2.5</v>
      </c>
      <c r="W61" s="877">
        <f t="shared" ref="W61:Y61" si="57">V61</f>
        <v>2.5</v>
      </c>
      <c r="X61" s="877">
        <f t="shared" si="57"/>
        <v>2.5</v>
      </c>
      <c r="Y61" s="879">
        <f t="shared" si="57"/>
        <v>2.5</v>
      </c>
      <c r="Z61" s="517" t="s">
        <v>304</v>
      </c>
    </row>
    <row r="62" spans="1:26" ht="15.75" x14ac:dyDescent="0.2">
      <c r="A62" s="567" t="s">
        <v>294</v>
      </c>
      <c r="B62" s="572">
        <v>18</v>
      </c>
      <c r="C62" s="311">
        <v>21</v>
      </c>
      <c r="D62" s="311">
        <v>25</v>
      </c>
      <c r="E62" s="573">
        <v>27</v>
      </c>
      <c r="F62" s="320">
        <v>80</v>
      </c>
      <c r="G62" s="523" t="e">
        <f t="shared" si="15"/>
        <v>#NUM!</v>
      </c>
      <c r="H62" s="522" t="e">
        <f t="shared" si="54"/>
        <v>#NUM!</v>
      </c>
      <c r="I62" s="521" t="e">
        <f t="shared" si="52"/>
        <v>#NUM!</v>
      </c>
      <c r="J62" s="521" t="e">
        <f t="shared" si="52"/>
        <v>#NUM!</v>
      </c>
      <c r="K62" s="521" t="e">
        <f t="shared" si="52"/>
        <v>#NUM!</v>
      </c>
      <c r="L62" s="521" t="e">
        <f t="shared" si="52"/>
        <v>#NUM!</v>
      </c>
      <c r="M62" s="521" t="e">
        <f t="shared" si="52"/>
        <v>#NUM!</v>
      </c>
      <c r="N62" s="521" t="e">
        <f t="shared" si="52"/>
        <v>#NUM!</v>
      </c>
      <c r="O62" s="521" t="e">
        <f t="shared" si="52"/>
        <v>#NUM!</v>
      </c>
      <c r="P62" s="633" t="e">
        <f t="shared" si="52"/>
        <v>#NUM!</v>
      </c>
      <c r="Q62" s="751" t="e">
        <f t="shared" si="16"/>
        <v>#NUM!</v>
      </c>
      <c r="R62" s="752" t="e">
        <f t="shared" si="16"/>
        <v>#NUM!</v>
      </c>
      <c r="S62" s="752" t="e">
        <f t="shared" si="16"/>
        <v>#NUM!</v>
      </c>
      <c r="T62" s="756" t="e">
        <f t="shared" si="16"/>
        <v>#NUM!</v>
      </c>
      <c r="U62" s="878">
        <f t="shared" si="17"/>
        <v>2.5</v>
      </c>
      <c r="V62" s="877">
        <f t="shared" si="17"/>
        <v>2.5</v>
      </c>
      <c r="W62" s="877">
        <f t="shared" ref="W62:Y62" si="58">V62</f>
        <v>2.5</v>
      </c>
      <c r="X62" s="877">
        <f t="shared" si="58"/>
        <v>2.5</v>
      </c>
      <c r="Y62" s="879">
        <f t="shared" si="58"/>
        <v>2.5</v>
      </c>
      <c r="Z62" s="517" t="s">
        <v>304</v>
      </c>
    </row>
    <row r="63" spans="1:26" ht="15.75" x14ac:dyDescent="0.2">
      <c r="A63" s="567" t="s">
        <v>295</v>
      </c>
      <c r="B63" s="572">
        <v>18</v>
      </c>
      <c r="C63" s="311">
        <v>21</v>
      </c>
      <c r="D63" s="311">
        <v>25</v>
      </c>
      <c r="E63" s="573">
        <v>27</v>
      </c>
      <c r="F63" s="320">
        <v>80</v>
      </c>
      <c r="G63" s="523" t="e">
        <f t="shared" si="15"/>
        <v>#NUM!</v>
      </c>
      <c r="H63" s="522" t="e">
        <f t="shared" si="54"/>
        <v>#NUM!</v>
      </c>
      <c r="I63" s="521" t="e">
        <f t="shared" si="52"/>
        <v>#NUM!</v>
      </c>
      <c r="J63" s="521" t="e">
        <f t="shared" si="52"/>
        <v>#NUM!</v>
      </c>
      <c r="K63" s="521" t="e">
        <f t="shared" si="52"/>
        <v>#NUM!</v>
      </c>
      <c r="L63" s="521" t="e">
        <f t="shared" si="52"/>
        <v>#NUM!</v>
      </c>
      <c r="M63" s="521" t="e">
        <f t="shared" si="52"/>
        <v>#NUM!</v>
      </c>
      <c r="N63" s="521" t="e">
        <f t="shared" si="52"/>
        <v>#NUM!</v>
      </c>
      <c r="O63" s="521" t="e">
        <f t="shared" si="52"/>
        <v>#NUM!</v>
      </c>
      <c r="P63" s="633" t="e">
        <f t="shared" si="52"/>
        <v>#NUM!</v>
      </c>
      <c r="Q63" s="751" t="e">
        <f t="shared" si="16"/>
        <v>#NUM!</v>
      </c>
      <c r="R63" s="752" t="e">
        <f t="shared" si="16"/>
        <v>#NUM!</v>
      </c>
      <c r="S63" s="752" t="e">
        <f t="shared" si="16"/>
        <v>#NUM!</v>
      </c>
      <c r="T63" s="756" t="e">
        <f t="shared" si="16"/>
        <v>#NUM!</v>
      </c>
      <c r="U63" s="878">
        <f t="shared" si="17"/>
        <v>2.5</v>
      </c>
      <c r="V63" s="877">
        <f t="shared" si="17"/>
        <v>2.5</v>
      </c>
      <c r="W63" s="877">
        <f t="shared" ref="W63:Y63" si="59">V63</f>
        <v>2.5</v>
      </c>
      <c r="X63" s="877">
        <f t="shared" si="59"/>
        <v>2.5</v>
      </c>
      <c r="Y63" s="879">
        <f t="shared" si="59"/>
        <v>2.5</v>
      </c>
      <c r="Z63" s="517" t="s">
        <v>304</v>
      </c>
    </row>
    <row r="64" spans="1:26" ht="15.75" x14ac:dyDescent="0.2">
      <c r="A64" s="567" t="s">
        <v>296</v>
      </c>
      <c r="B64" s="572">
        <v>18</v>
      </c>
      <c r="C64" s="311">
        <v>21</v>
      </c>
      <c r="D64" s="311">
        <v>25</v>
      </c>
      <c r="E64" s="573">
        <v>27</v>
      </c>
      <c r="F64" s="320">
        <v>80</v>
      </c>
      <c r="G64" s="523" t="e">
        <f t="shared" si="15"/>
        <v>#NUM!</v>
      </c>
      <c r="H64" s="522" t="e">
        <f t="shared" si="54"/>
        <v>#NUM!</v>
      </c>
      <c r="I64" s="521" t="e">
        <f t="shared" si="52"/>
        <v>#NUM!</v>
      </c>
      <c r="J64" s="521" t="e">
        <f t="shared" si="52"/>
        <v>#NUM!</v>
      </c>
      <c r="K64" s="521" t="e">
        <f t="shared" si="52"/>
        <v>#NUM!</v>
      </c>
      <c r="L64" s="521" t="e">
        <f t="shared" si="52"/>
        <v>#NUM!</v>
      </c>
      <c r="M64" s="521" t="e">
        <f t="shared" si="52"/>
        <v>#NUM!</v>
      </c>
      <c r="N64" s="521" t="e">
        <f t="shared" si="52"/>
        <v>#NUM!</v>
      </c>
      <c r="O64" s="521" t="e">
        <f t="shared" si="52"/>
        <v>#NUM!</v>
      </c>
      <c r="P64" s="633" t="e">
        <f t="shared" si="52"/>
        <v>#NUM!</v>
      </c>
      <c r="Q64" s="751" t="e">
        <f t="shared" si="16"/>
        <v>#NUM!</v>
      </c>
      <c r="R64" s="752" t="e">
        <f t="shared" si="16"/>
        <v>#NUM!</v>
      </c>
      <c r="S64" s="752" t="e">
        <f t="shared" si="16"/>
        <v>#NUM!</v>
      </c>
      <c r="T64" s="756" t="e">
        <f t="shared" si="16"/>
        <v>#NUM!</v>
      </c>
      <c r="U64" s="878">
        <f t="shared" si="17"/>
        <v>2.5</v>
      </c>
      <c r="V64" s="877">
        <f t="shared" si="17"/>
        <v>2.5</v>
      </c>
      <c r="W64" s="877">
        <f t="shared" ref="W64:Y64" si="60">V64</f>
        <v>2.5</v>
      </c>
      <c r="X64" s="877">
        <f t="shared" si="60"/>
        <v>2.5</v>
      </c>
      <c r="Y64" s="879">
        <f t="shared" si="60"/>
        <v>2.5</v>
      </c>
      <c r="Z64" s="517" t="s">
        <v>304</v>
      </c>
    </row>
    <row r="65" spans="1:33" ht="15.75" x14ac:dyDescent="0.2">
      <c r="A65" s="567" t="s">
        <v>297</v>
      </c>
      <c r="B65" s="572">
        <v>18</v>
      </c>
      <c r="C65" s="311">
        <v>21</v>
      </c>
      <c r="D65" s="311">
        <v>25</v>
      </c>
      <c r="E65" s="573">
        <v>27</v>
      </c>
      <c r="F65" s="320">
        <v>80</v>
      </c>
      <c r="G65" s="523" t="e">
        <f t="shared" si="15"/>
        <v>#NUM!</v>
      </c>
      <c r="H65" s="522" t="e">
        <f t="shared" si="54"/>
        <v>#NUM!</v>
      </c>
      <c r="I65" s="521" t="e">
        <f t="shared" si="52"/>
        <v>#NUM!</v>
      </c>
      <c r="J65" s="521" t="e">
        <f t="shared" si="52"/>
        <v>#NUM!</v>
      </c>
      <c r="K65" s="521" t="e">
        <f t="shared" si="52"/>
        <v>#NUM!</v>
      </c>
      <c r="L65" s="521" t="e">
        <f t="shared" si="52"/>
        <v>#NUM!</v>
      </c>
      <c r="M65" s="521" t="e">
        <f t="shared" si="52"/>
        <v>#NUM!</v>
      </c>
      <c r="N65" s="521" t="e">
        <f t="shared" si="52"/>
        <v>#NUM!</v>
      </c>
      <c r="O65" s="521" t="e">
        <f t="shared" si="52"/>
        <v>#NUM!</v>
      </c>
      <c r="P65" s="633" t="e">
        <f t="shared" si="52"/>
        <v>#NUM!</v>
      </c>
      <c r="Q65" s="751" t="e">
        <f t="shared" si="16"/>
        <v>#NUM!</v>
      </c>
      <c r="R65" s="752" t="e">
        <f t="shared" si="16"/>
        <v>#NUM!</v>
      </c>
      <c r="S65" s="752" t="e">
        <f t="shared" si="16"/>
        <v>#NUM!</v>
      </c>
      <c r="T65" s="756" t="e">
        <f t="shared" si="16"/>
        <v>#NUM!</v>
      </c>
      <c r="U65" s="878">
        <f t="shared" si="17"/>
        <v>2.5</v>
      </c>
      <c r="V65" s="877">
        <f t="shared" si="17"/>
        <v>2.5</v>
      </c>
      <c r="W65" s="877">
        <f t="shared" ref="W65:Y65" si="61">V65</f>
        <v>2.5</v>
      </c>
      <c r="X65" s="877">
        <f t="shared" si="61"/>
        <v>2.5</v>
      </c>
      <c r="Y65" s="879">
        <f t="shared" si="61"/>
        <v>2.5</v>
      </c>
      <c r="Z65" s="517" t="s">
        <v>304</v>
      </c>
    </row>
    <row r="66" spans="1:33" ht="15.75" x14ac:dyDescent="0.2">
      <c r="A66" s="567" t="s">
        <v>298</v>
      </c>
      <c r="B66" s="572">
        <v>18</v>
      </c>
      <c r="C66" s="311">
        <v>21</v>
      </c>
      <c r="D66" s="311">
        <v>25</v>
      </c>
      <c r="E66" s="573">
        <v>27</v>
      </c>
      <c r="F66" s="320">
        <v>80</v>
      </c>
      <c r="G66" s="523" t="e">
        <f t="shared" si="15"/>
        <v>#NUM!</v>
      </c>
      <c r="H66" s="522" t="e">
        <f t="shared" si="54"/>
        <v>#NUM!</v>
      </c>
      <c r="I66" s="521" t="e">
        <f t="shared" si="52"/>
        <v>#NUM!</v>
      </c>
      <c r="J66" s="521" t="e">
        <f t="shared" si="52"/>
        <v>#NUM!</v>
      </c>
      <c r="K66" s="521" t="e">
        <f t="shared" si="52"/>
        <v>#NUM!</v>
      </c>
      <c r="L66" s="521" t="e">
        <f t="shared" si="52"/>
        <v>#NUM!</v>
      </c>
      <c r="M66" s="521" t="e">
        <f t="shared" si="52"/>
        <v>#NUM!</v>
      </c>
      <c r="N66" s="521" t="e">
        <f t="shared" si="52"/>
        <v>#NUM!</v>
      </c>
      <c r="O66" s="521" t="e">
        <f t="shared" si="52"/>
        <v>#NUM!</v>
      </c>
      <c r="P66" s="633" t="e">
        <f t="shared" si="52"/>
        <v>#NUM!</v>
      </c>
      <c r="Q66" s="751" t="e">
        <f t="shared" si="16"/>
        <v>#NUM!</v>
      </c>
      <c r="R66" s="752" t="e">
        <f t="shared" si="16"/>
        <v>#NUM!</v>
      </c>
      <c r="S66" s="752" t="e">
        <f t="shared" si="16"/>
        <v>#NUM!</v>
      </c>
      <c r="T66" s="756" t="e">
        <f t="shared" si="16"/>
        <v>#NUM!</v>
      </c>
      <c r="U66" s="878">
        <f t="shared" si="17"/>
        <v>2.5</v>
      </c>
      <c r="V66" s="877">
        <f t="shared" si="17"/>
        <v>2.5</v>
      </c>
      <c r="W66" s="877">
        <f t="shared" ref="W66:Y66" si="62">V66</f>
        <v>2.5</v>
      </c>
      <c r="X66" s="877">
        <f t="shared" si="62"/>
        <v>2.5</v>
      </c>
      <c r="Y66" s="879">
        <f t="shared" si="62"/>
        <v>2.5</v>
      </c>
      <c r="Z66" s="517" t="s">
        <v>304</v>
      </c>
    </row>
    <row r="67" spans="1:33" ht="15.75" x14ac:dyDescent="0.2">
      <c r="A67" s="567" t="s">
        <v>299</v>
      </c>
      <c r="B67" s="572">
        <v>18</v>
      </c>
      <c r="C67" s="311">
        <v>21</v>
      </c>
      <c r="D67" s="311">
        <v>25</v>
      </c>
      <c r="E67" s="573">
        <v>27</v>
      </c>
      <c r="F67" s="320">
        <v>80</v>
      </c>
      <c r="G67" s="523" t="e">
        <f t="shared" si="15"/>
        <v>#NUM!</v>
      </c>
      <c r="H67" s="522" t="e">
        <f t="shared" si="54"/>
        <v>#NUM!</v>
      </c>
      <c r="I67" s="521" t="e">
        <f t="shared" si="52"/>
        <v>#NUM!</v>
      </c>
      <c r="J67" s="521" t="e">
        <f t="shared" si="52"/>
        <v>#NUM!</v>
      </c>
      <c r="K67" s="521" t="e">
        <f t="shared" si="52"/>
        <v>#NUM!</v>
      </c>
      <c r="L67" s="521" t="e">
        <f t="shared" si="52"/>
        <v>#NUM!</v>
      </c>
      <c r="M67" s="521" t="e">
        <f t="shared" si="52"/>
        <v>#NUM!</v>
      </c>
      <c r="N67" s="521" t="e">
        <f t="shared" si="52"/>
        <v>#NUM!</v>
      </c>
      <c r="O67" s="521" t="e">
        <f t="shared" si="52"/>
        <v>#NUM!</v>
      </c>
      <c r="P67" s="633" t="e">
        <f t="shared" si="52"/>
        <v>#NUM!</v>
      </c>
      <c r="Q67" s="751" t="e">
        <f t="shared" si="16"/>
        <v>#NUM!</v>
      </c>
      <c r="R67" s="752" t="e">
        <f t="shared" si="16"/>
        <v>#NUM!</v>
      </c>
      <c r="S67" s="752" t="e">
        <f t="shared" si="16"/>
        <v>#NUM!</v>
      </c>
      <c r="T67" s="756" t="e">
        <f t="shared" si="16"/>
        <v>#NUM!</v>
      </c>
      <c r="U67" s="878">
        <f t="shared" si="17"/>
        <v>2.5</v>
      </c>
      <c r="V67" s="877">
        <f t="shared" si="17"/>
        <v>2.5</v>
      </c>
      <c r="W67" s="877">
        <f t="shared" ref="W67:Y67" si="63">V67</f>
        <v>2.5</v>
      </c>
      <c r="X67" s="877">
        <f t="shared" si="63"/>
        <v>2.5</v>
      </c>
      <c r="Y67" s="879">
        <f t="shared" si="63"/>
        <v>2.5</v>
      </c>
      <c r="Z67" s="517" t="s">
        <v>304</v>
      </c>
    </row>
    <row r="68" spans="1:33" ht="15.75" x14ac:dyDescent="0.2">
      <c r="A68" s="567" t="s">
        <v>300</v>
      </c>
      <c r="B68" s="572">
        <v>18</v>
      </c>
      <c r="C68" s="311">
        <v>21</v>
      </c>
      <c r="D68" s="311">
        <v>25</v>
      </c>
      <c r="E68" s="573">
        <v>27</v>
      </c>
      <c r="F68" s="320">
        <v>80</v>
      </c>
      <c r="G68" s="523" t="e">
        <f t="shared" si="15"/>
        <v>#NUM!</v>
      </c>
      <c r="H68" s="522" t="e">
        <f t="shared" si="54"/>
        <v>#NUM!</v>
      </c>
      <c r="I68" s="521" t="e">
        <f t="shared" si="52"/>
        <v>#NUM!</v>
      </c>
      <c r="J68" s="521" t="e">
        <f t="shared" si="52"/>
        <v>#NUM!</v>
      </c>
      <c r="K68" s="521" t="e">
        <f t="shared" si="52"/>
        <v>#NUM!</v>
      </c>
      <c r="L68" s="521" t="e">
        <f t="shared" si="52"/>
        <v>#NUM!</v>
      </c>
      <c r="M68" s="521" t="e">
        <f t="shared" si="52"/>
        <v>#NUM!</v>
      </c>
      <c r="N68" s="521" t="e">
        <f t="shared" si="52"/>
        <v>#NUM!</v>
      </c>
      <c r="O68" s="521" t="e">
        <f t="shared" si="52"/>
        <v>#NUM!</v>
      </c>
      <c r="P68" s="633" t="e">
        <f t="shared" si="52"/>
        <v>#NUM!</v>
      </c>
      <c r="Q68" s="751" t="e">
        <f t="shared" si="16"/>
        <v>#NUM!</v>
      </c>
      <c r="R68" s="752" t="e">
        <f t="shared" si="16"/>
        <v>#NUM!</v>
      </c>
      <c r="S68" s="752" t="e">
        <f t="shared" si="16"/>
        <v>#NUM!</v>
      </c>
      <c r="T68" s="756" t="e">
        <f t="shared" si="16"/>
        <v>#NUM!</v>
      </c>
      <c r="U68" s="878">
        <f t="shared" si="17"/>
        <v>2.5</v>
      </c>
      <c r="V68" s="877">
        <f t="shared" si="17"/>
        <v>2.5</v>
      </c>
      <c r="W68" s="877">
        <f t="shared" ref="W68:Y68" si="64">V68</f>
        <v>2.5</v>
      </c>
      <c r="X68" s="877">
        <f t="shared" si="64"/>
        <v>2.5</v>
      </c>
      <c r="Y68" s="879">
        <f t="shared" si="64"/>
        <v>2.5</v>
      </c>
      <c r="Z68" s="517" t="s">
        <v>304</v>
      </c>
    </row>
    <row r="69" spans="1:33" ht="15.75" x14ac:dyDescent="0.2">
      <c r="A69" s="567" t="s">
        <v>301</v>
      </c>
      <c r="B69" s="572">
        <v>18</v>
      </c>
      <c r="C69" s="311">
        <v>21</v>
      </c>
      <c r="D69" s="311">
        <v>25</v>
      </c>
      <c r="E69" s="573">
        <v>27</v>
      </c>
      <c r="F69" s="320">
        <v>80</v>
      </c>
      <c r="G69" s="523" t="e">
        <f t="shared" si="15"/>
        <v>#NUM!</v>
      </c>
      <c r="H69" s="522" t="e">
        <f t="shared" si="54"/>
        <v>#NUM!</v>
      </c>
      <c r="I69" s="521" t="e">
        <f t="shared" si="52"/>
        <v>#NUM!</v>
      </c>
      <c r="J69" s="521" t="e">
        <f t="shared" si="52"/>
        <v>#NUM!</v>
      </c>
      <c r="K69" s="521" t="e">
        <f t="shared" si="52"/>
        <v>#NUM!</v>
      </c>
      <c r="L69" s="521" t="e">
        <f t="shared" si="52"/>
        <v>#NUM!</v>
      </c>
      <c r="M69" s="521" t="e">
        <f t="shared" si="52"/>
        <v>#NUM!</v>
      </c>
      <c r="N69" s="521" t="e">
        <f t="shared" si="52"/>
        <v>#NUM!</v>
      </c>
      <c r="O69" s="521" t="e">
        <f t="shared" si="52"/>
        <v>#NUM!</v>
      </c>
      <c r="P69" s="633" t="e">
        <f t="shared" si="52"/>
        <v>#NUM!</v>
      </c>
      <c r="Q69" s="751" t="e">
        <f t="shared" si="16"/>
        <v>#NUM!</v>
      </c>
      <c r="R69" s="752" t="e">
        <f t="shared" si="16"/>
        <v>#NUM!</v>
      </c>
      <c r="S69" s="752" t="e">
        <f t="shared" si="16"/>
        <v>#NUM!</v>
      </c>
      <c r="T69" s="756" t="e">
        <f t="shared" si="16"/>
        <v>#NUM!</v>
      </c>
      <c r="U69" s="878">
        <f t="shared" si="17"/>
        <v>2.5</v>
      </c>
      <c r="V69" s="877">
        <f t="shared" si="17"/>
        <v>2.5</v>
      </c>
      <c r="W69" s="877">
        <f t="shared" ref="W69:Y69" si="65">V69</f>
        <v>2.5</v>
      </c>
      <c r="X69" s="877">
        <f t="shared" si="65"/>
        <v>2.5</v>
      </c>
      <c r="Y69" s="879">
        <f t="shared" si="65"/>
        <v>2.5</v>
      </c>
      <c r="Z69" s="517" t="s">
        <v>304</v>
      </c>
    </row>
    <row r="70" spans="1:33" ht="15.75" x14ac:dyDescent="0.2">
      <c r="A70" s="567" t="s">
        <v>302</v>
      </c>
      <c r="B70" s="572">
        <v>18</v>
      </c>
      <c r="C70" s="311">
        <v>21</v>
      </c>
      <c r="D70" s="311">
        <v>25</v>
      </c>
      <c r="E70" s="573">
        <v>27</v>
      </c>
      <c r="F70" s="320">
        <v>80</v>
      </c>
      <c r="G70" s="523" t="e">
        <f t="shared" si="15"/>
        <v>#NUM!</v>
      </c>
      <c r="H70" s="522" t="e">
        <f t="shared" si="54"/>
        <v>#NUM!</v>
      </c>
      <c r="I70" s="521" t="e">
        <f t="shared" si="52"/>
        <v>#NUM!</v>
      </c>
      <c r="J70" s="521" t="e">
        <f t="shared" si="52"/>
        <v>#NUM!</v>
      </c>
      <c r="K70" s="521" t="e">
        <f t="shared" si="52"/>
        <v>#NUM!</v>
      </c>
      <c r="L70" s="521" t="e">
        <f t="shared" si="52"/>
        <v>#NUM!</v>
      </c>
      <c r="M70" s="521" t="e">
        <f t="shared" si="52"/>
        <v>#NUM!</v>
      </c>
      <c r="N70" s="521" t="e">
        <f t="shared" si="52"/>
        <v>#NUM!</v>
      </c>
      <c r="O70" s="521" t="e">
        <f t="shared" si="52"/>
        <v>#NUM!</v>
      </c>
      <c r="P70" s="633" t="e">
        <f t="shared" si="52"/>
        <v>#NUM!</v>
      </c>
      <c r="Q70" s="751" t="e">
        <f t="shared" si="16"/>
        <v>#NUM!</v>
      </c>
      <c r="R70" s="752" t="e">
        <f t="shared" si="16"/>
        <v>#NUM!</v>
      </c>
      <c r="S70" s="752" t="e">
        <f t="shared" si="16"/>
        <v>#NUM!</v>
      </c>
      <c r="T70" s="756" t="e">
        <f t="shared" si="16"/>
        <v>#NUM!</v>
      </c>
      <c r="U70" s="878">
        <f t="shared" si="17"/>
        <v>2.5</v>
      </c>
      <c r="V70" s="877">
        <f t="shared" si="17"/>
        <v>2.5</v>
      </c>
      <c r="W70" s="877">
        <f t="shared" ref="W70:Y70" si="66">V70</f>
        <v>2.5</v>
      </c>
      <c r="X70" s="877">
        <f t="shared" si="66"/>
        <v>2.5</v>
      </c>
      <c r="Y70" s="879">
        <f t="shared" si="66"/>
        <v>2.5</v>
      </c>
      <c r="Z70" s="517" t="s">
        <v>304</v>
      </c>
    </row>
    <row r="71" spans="1:33" ht="16.5" thickBot="1" x14ac:dyDescent="0.25">
      <c r="A71" s="568" t="s">
        <v>303</v>
      </c>
      <c r="B71" s="574">
        <v>18</v>
      </c>
      <c r="C71" s="575">
        <v>21</v>
      </c>
      <c r="D71" s="575">
        <v>25</v>
      </c>
      <c r="E71" s="576">
        <v>27</v>
      </c>
      <c r="F71" s="518">
        <v>80</v>
      </c>
      <c r="G71" s="524" t="e">
        <f t="shared" si="15"/>
        <v>#NUM!</v>
      </c>
      <c r="H71" s="525" t="e">
        <f t="shared" si="54"/>
        <v>#NUM!</v>
      </c>
      <c r="I71" s="526" t="e">
        <f t="shared" si="52"/>
        <v>#NUM!</v>
      </c>
      <c r="J71" s="526" t="e">
        <f t="shared" si="52"/>
        <v>#NUM!</v>
      </c>
      <c r="K71" s="526" t="e">
        <f t="shared" si="52"/>
        <v>#NUM!</v>
      </c>
      <c r="L71" s="526" t="e">
        <f t="shared" si="52"/>
        <v>#NUM!</v>
      </c>
      <c r="M71" s="526" t="e">
        <f t="shared" si="52"/>
        <v>#NUM!</v>
      </c>
      <c r="N71" s="526" t="e">
        <f t="shared" si="52"/>
        <v>#NUM!</v>
      </c>
      <c r="O71" s="526" t="e">
        <f t="shared" si="52"/>
        <v>#NUM!</v>
      </c>
      <c r="P71" s="635" t="e">
        <f t="shared" si="52"/>
        <v>#NUM!</v>
      </c>
      <c r="Q71" s="753" t="e">
        <f t="shared" si="16"/>
        <v>#NUM!</v>
      </c>
      <c r="R71" s="754" t="e">
        <f t="shared" si="16"/>
        <v>#NUM!</v>
      </c>
      <c r="S71" s="754" t="e">
        <f t="shared" si="16"/>
        <v>#NUM!</v>
      </c>
      <c r="T71" s="757" t="e">
        <f t="shared" si="16"/>
        <v>#NUM!</v>
      </c>
      <c r="U71" s="880">
        <f t="shared" si="17"/>
        <v>2.5</v>
      </c>
      <c r="V71" s="881">
        <f t="shared" si="17"/>
        <v>2.5</v>
      </c>
      <c r="W71" s="881">
        <f t="shared" ref="W71:Y71" si="67">V71</f>
        <v>2.5</v>
      </c>
      <c r="X71" s="881">
        <f t="shared" si="67"/>
        <v>2.5</v>
      </c>
      <c r="Y71" s="882">
        <f t="shared" si="67"/>
        <v>2.5</v>
      </c>
      <c r="Z71" s="517" t="s">
        <v>304</v>
      </c>
    </row>
    <row r="74" spans="1:33" ht="13.5" thickBot="1" x14ac:dyDescent="0.25"/>
    <row r="75" spans="1:33" ht="15" x14ac:dyDescent="0.25">
      <c r="G75" s="507" t="s">
        <v>266</v>
      </c>
      <c r="H75" s="508"/>
      <c r="I75" s="508"/>
      <c r="J75" s="508"/>
      <c r="K75" s="508"/>
      <c r="L75" s="508"/>
      <c r="M75" s="508"/>
      <c r="N75" s="508"/>
      <c r="O75" s="508"/>
      <c r="P75" s="508"/>
      <c r="Q75" s="508"/>
      <c r="R75" s="508"/>
      <c r="S75" s="508"/>
      <c r="T75" s="508"/>
      <c r="U75" s="508"/>
      <c r="V75" s="508"/>
      <c r="W75" s="508"/>
      <c r="X75" s="508"/>
      <c r="Y75" s="508"/>
      <c r="Z75" s="1144"/>
      <c r="AA75" s="1144"/>
      <c r="AB75" s="1144"/>
      <c r="AC75" s="1144"/>
      <c r="AD75" s="1144"/>
      <c r="AE75" s="1144"/>
      <c r="AF75" s="1144"/>
      <c r="AG75" s="1145"/>
    </row>
    <row r="76" spans="1:33" ht="12.95" customHeight="1" thickBot="1" x14ac:dyDescent="0.3">
      <c r="G76" s="497"/>
      <c r="H76" s="503" t="s">
        <v>263</v>
      </c>
      <c r="I76" s="715">
        <f>IF(KPA!G10&gt;2019,2019-2008,IF(KPA!G10&lt;2009,2009-2007,KPA!G10-2007))</f>
        <v>2</v>
      </c>
      <c r="J76" s="715"/>
      <c r="K76" s="715"/>
      <c r="L76" s="715"/>
      <c r="M76" s="715"/>
      <c r="N76" s="715"/>
      <c r="O76" s="715"/>
      <c r="P76" s="715"/>
      <c r="Q76" s="715"/>
      <c r="R76" s="716"/>
      <c r="S76" s="715"/>
      <c r="T76" s="715"/>
      <c r="U76" s="715"/>
      <c r="V76" s="715"/>
      <c r="W76" s="715"/>
      <c r="X76" s="715"/>
      <c r="Y76" s="715"/>
      <c r="Z76" s="1146"/>
      <c r="AA76" s="1146"/>
      <c r="AB76" s="1146"/>
      <c r="AC76" s="1146"/>
      <c r="AD76" s="1146"/>
      <c r="AE76" s="1146"/>
      <c r="AF76" s="1146"/>
      <c r="AG76" s="1147"/>
    </row>
    <row r="77" spans="1:33" x14ac:dyDescent="0.2">
      <c r="G77" s="498"/>
      <c r="H77" s="509"/>
      <c r="I77" s="495">
        <v>2009</v>
      </c>
      <c r="J77" s="500">
        <f>I77+1</f>
        <v>2010</v>
      </c>
      <c r="K77" s="500">
        <f t="shared" ref="K77" si="68">J77+1</f>
        <v>2011</v>
      </c>
      <c r="L77" s="500">
        <f t="shared" ref="L77" si="69">K77+1</f>
        <v>2012</v>
      </c>
      <c r="M77" s="500">
        <f t="shared" ref="M77" si="70">L77+1</f>
        <v>2013</v>
      </c>
      <c r="N77" s="500">
        <f t="shared" ref="N77" si="71">M77+1</f>
        <v>2014</v>
      </c>
      <c r="O77" s="500">
        <f t="shared" ref="O77" si="72">N77+1</f>
        <v>2015</v>
      </c>
      <c r="P77" s="500">
        <f t="shared" ref="P77" si="73">O77+1</f>
        <v>2016</v>
      </c>
      <c r="Q77" s="500">
        <f t="shared" ref="Q77:Y77" si="74">P77+1</f>
        <v>2017</v>
      </c>
      <c r="R77" s="500">
        <f>Q77+1</f>
        <v>2018</v>
      </c>
      <c r="S77" s="500">
        <f t="shared" si="74"/>
        <v>2019</v>
      </c>
      <c r="T77" s="500">
        <f t="shared" si="74"/>
        <v>2020</v>
      </c>
      <c r="U77" s="500">
        <f t="shared" si="74"/>
        <v>2021</v>
      </c>
      <c r="V77" s="500">
        <f t="shared" si="74"/>
        <v>2022</v>
      </c>
      <c r="W77" s="745">
        <f t="shared" si="74"/>
        <v>2023</v>
      </c>
      <c r="X77" s="736">
        <f t="shared" si="74"/>
        <v>2024</v>
      </c>
      <c r="Y77" s="736">
        <f t="shared" si="74"/>
        <v>2025</v>
      </c>
      <c r="Z77" s="736">
        <f t="shared" ref="Z77:AG77" si="75">Y77+1</f>
        <v>2026</v>
      </c>
      <c r="AA77" s="736">
        <f t="shared" si="75"/>
        <v>2027</v>
      </c>
      <c r="AB77" s="736">
        <f t="shared" si="75"/>
        <v>2028</v>
      </c>
      <c r="AC77" s="736">
        <f t="shared" si="75"/>
        <v>2029</v>
      </c>
      <c r="AD77" s="736">
        <f t="shared" si="75"/>
        <v>2030</v>
      </c>
      <c r="AE77" s="736">
        <f t="shared" si="75"/>
        <v>2031</v>
      </c>
      <c r="AF77" s="500">
        <f t="shared" si="75"/>
        <v>2032</v>
      </c>
      <c r="AG77" s="500">
        <f t="shared" si="75"/>
        <v>2033</v>
      </c>
    </row>
    <row r="78" spans="1:33" ht="13.5" thickBot="1" x14ac:dyDescent="0.25">
      <c r="G78" s="499"/>
      <c r="H78" s="510">
        <v>1</v>
      </c>
      <c r="I78" s="496">
        <f>H78+1</f>
        <v>2</v>
      </c>
      <c r="J78" s="501">
        <f t="shared" ref="J78" si="76">I78+1</f>
        <v>3</v>
      </c>
      <c r="K78" s="501">
        <f t="shared" ref="K78" si="77">J78+1</f>
        <v>4</v>
      </c>
      <c r="L78" s="501">
        <f t="shared" ref="L78" si="78">K78+1</f>
        <v>5</v>
      </c>
      <c r="M78" s="501">
        <f t="shared" ref="M78" si="79">L78+1</f>
        <v>6</v>
      </c>
      <c r="N78" s="501">
        <f t="shared" ref="N78" si="80">M78+1</f>
        <v>7</v>
      </c>
      <c r="O78" s="501">
        <f t="shared" ref="O78" si="81">N78+1</f>
        <v>8</v>
      </c>
      <c r="P78" s="501">
        <f t="shared" ref="P78" si="82">O78+1</f>
        <v>9</v>
      </c>
      <c r="Q78" s="501">
        <f t="shared" ref="Q78:Y78" si="83">P78+1</f>
        <v>10</v>
      </c>
      <c r="R78" s="501">
        <f>Q78+1</f>
        <v>11</v>
      </c>
      <c r="S78" s="501">
        <f t="shared" si="83"/>
        <v>12</v>
      </c>
      <c r="T78" s="742">
        <f t="shared" si="83"/>
        <v>13</v>
      </c>
      <c r="U78" s="742">
        <f t="shared" si="83"/>
        <v>14</v>
      </c>
      <c r="V78" s="742">
        <f t="shared" si="83"/>
        <v>15</v>
      </c>
      <c r="W78" s="748">
        <f t="shared" si="83"/>
        <v>16</v>
      </c>
      <c r="X78" s="737">
        <f t="shared" si="83"/>
        <v>17</v>
      </c>
      <c r="Y78" s="737">
        <f t="shared" si="83"/>
        <v>18</v>
      </c>
      <c r="Z78" s="737">
        <f t="shared" ref="Z78:AG78" si="84">Y78+1</f>
        <v>19</v>
      </c>
      <c r="AA78" s="737">
        <f t="shared" si="84"/>
        <v>20</v>
      </c>
      <c r="AB78" s="737">
        <f t="shared" si="84"/>
        <v>21</v>
      </c>
      <c r="AC78" s="737">
        <f t="shared" si="84"/>
        <v>22</v>
      </c>
      <c r="AD78" s="737">
        <f t="shared" si="84"/>
        <v>23</v>
      </c>
      <c r="AE78" s="737">
        <f t="shared" si="84"/>
        <v>24</v>
      </c>
      <c r="AF78" s="501">
        <f t="shared" si="84"/>
        <v>25</v>
      </c>
      <c r="AG78" s="501">
        <f t="shared" si="84"/>
        <v>26</v>
      </c>
    </row>
    <row r="79" spans="1:33" ht="13.5" thickBot="1" x14ac:dyDescent="0.25">
      <c r="G79" s="499"/>
      <c r="H79" s="504" t="s">
        <v>265</v>
      </c>
      <c r="I79" s="511">
        <v>81.78</v>
      </c>
      <c r="J79" s="512">
        <v>90.76</v>
      </c>
      <c r="K79" s="512">
        <v>90.92</v>
      </c>
      <c r="L79" s="512">
        <v>94.14</v>
      </c>
      <c r="M79" s="512">
        <v>98.61</v>
      </c>
      <c r="N79" s="512">
        <v>106.04</v>
      </c>
      <c r="O79" s="512">
        <v>110.13</v>
      </c>
      <c r="P79" s="512">
        <v>119.38</v>
      </c>
      <c r="Q79" s="512">
        <v>131.25</v>
      </c>
      <c r="R79" s="512">
        <v>137.66999999999999</v>
      </c>
      <c r="S79" s="733">
        <v>142.69999999999999</v>
      </c>
      <c r="T79" s="743">
        <v>142.69999999999999</v>
      </c>
      <c r="U79" s="744">
        <v>142.69999999999999</v>
      </c>
      <c r="V79" s="744">
        <v>142.69999999999999</v>
      </c>
      <c r="W79" s="746">
        <v>142.69999999999999</v>
      </c>
      <c r="X79" s="741">
        <v>146.22</v>
      </c>
      <c r="Y79" s="738">
        <v>146.22</v>
      </c>
      <c r="Z79" s="738">
        <v>146.22</v>
      </c>
      <c r="AA79" s="738">
        <v>146.22</v>
      </c>
      <c r="AB79" s="738">
        <v>146.22</v>
      </c>
      <c r="AC79" s="738">
        <v>146.22</v>
      </c>
      <c r="AD79" s="738">
        <v>146.22</v>
      </c>
      <c r="AE79" s="738">
        <v>146.22</v>
      </c>
      <c r="AF79" s="512">
        <v>146.22</v>
      </c>
      <c r="AG79" s="512">
        <v>146.22</v>
      </c>
    </row>
    <row r="80" spans="1:33" ht="13.5" thickBot="1" x14ac:dyDescent="0.25">
      <c r="G80" s="499"/>
      <c r="H80" s="502" t="s">
        <v>264</v>
      </c>
      <c r="I80" s="505">
        <v>1</v>
      </c>
      <c r="J80" s="506">
        <f>$I$79/J79</f>
        <v>0.90105773468488315</v>
      </c>
      <c r="K80" s="506">
        <f t="shared" ref="K80:Q80" si="85">$I$79/K79</f>
        <v>0.89947206335239771</v>
      </c>
      <c r="L80" s="506">
        <f t="shared" si="85"/>
        <v>0.86870618228170815</v>
      </c>
      <c r="M80" s="506">
        <f t="shared" si="85"/>
        <v>0.8293276543961059</v>
      </c>
      <c r="N80" s="506">
        <f t="shared" si="85"/>
        <v>0.77121840814786868</v>
      </c>
      <c r="O80" s="506">
        <f t="shared" si="85"/>
        <v>0.74257695450830841</v>
      </c>
      <c r="P80" s="506">
        <f t="shared" si="85"/>
        <v>0.68503937007874016</v>
      </c>
      <c r="Q80" s="506">
        <f t="shared" si="85"/>
        <v>0.62308571428571424</v>
      </c>
      <c r="R80" s="506">
        <f t="shared" ref="R80:W80" si="86">$I$79/R79</f>
        <v>0.59402920026149497</v>
      </c>
      <c r="S80" s="734">
        <f t="shared" si="86"/>
        <v>0.57309039943938334</v>
      </c>
      <c r="T80" s="735">
        <f t="shared" si="86"/>
        <v>0.57309039943938334</v>
      </c>
      <c r="U80" s="732">
        <f t="shared" si="86"/>
        <v>0.57309039943938334</v>
      </c>
      <c r="V80" s="732">
        <f t="shared" si="86"/>
        <v>0.57309039943938334</v>
      </c>
      <c r="W80" s="747">
        <f t="shared" si="86"/>
        <v>0.57309039943938334</v>
      </c>
      <c r="X80" s="739">
        <f t="shared" ref="X80:Y80" si="87">$I$79/X79</f>
        <v>0.55929421419778413</v>
      </c>
      <c r="Y80" s="740">
        <f t="shared" si="87"/>
        <v>0.55929421419778413</v>
      </c>
      <c r="Z80" s="740">
        <f t="shared" ref="Z80:AG80" si="88">$I$79/Z79</f>
        <v>0.55929421419778413</v>
      </c>
      <c r="AA80" s="740">
        <f t="shared" si="88"/>
        <v>0.55929421419778413</v>
      </c>
      <c r="AB80" s="740">
        <f t="shared" si="88"/>
        <v>0.55929421419778413</v>
      </c>
      <c r="AC80" s="740">
        <f t="shared" si="88"/>
        <v>0.55929421419778413</v>
      </c>
      <c r="AD80" s="740">
        <f t="shared" si="88"/>
        <v>0.55929421419778413</v>
      </c>
      <c r="AE80" s="740">
        <f t="shared" si="88"/>
        <v>0.55929421419778413</v>
      </c>
      <c r="AF80" s="506">
        <f t="shared" si="88"/>
        <v>0.55929421419778413</v>
      </c>
      <c r="AG80" s="506">
        <f t="shared" si="88"/>
        <v>0.55929421419778413</v>
      </c>
    </row>
  </sheetData>
  <sheetProtection algorithmName="SHA-512" hashValue="6cPP9w+q6k75SWWyfOh2+ReqHHjw1+VFY8Iv4drzdqdpHR4CpmmIRK7dZW1TH75RpOsnyv3MkZlRy7O5PsozJA==" saltValue="WSNurYDv6jfbKixH+G02xQ==" spinCount="100000" sheet="1" objects="1" scenarios="1"/>
  <mergeCells count="3">
    <mergeCell ref="A1:E1"/>
    <mergeCell ref="G4:Y4"/>
    <mergeCell ref="Z75:AG76"/>
  </mergeCells>
  <pageMargins left="0.7" right="0.7" top="0.78740157499999996" bottom="0.78740157499999996"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KPA</vt:lpstr>
      <vt:lpstr>Fiktives Baujahr</vt:lpstr>
      <vt:lpstr>Verweise zu GAA und BRW und VW</vt:lpstr>
      <vt:lpstr>AfA_Berechnung</vt:lpstr>
      <vt:lpstr>Rechnerische THK-Erläuterung </vt:lpstr>
      <vt:lpstr>SW-NHK</vt:lpstr>
      <vt:lpstr>SW-Bau-Index</vt:lpstr>
      <vt:lpstr>EW-BWK</vt:lpstr>
      <vt:lpstr>EW-Bewertungsparameter</vt:lpstr>
      <vt:lpstr>AfA_Berechnung!Druckbereich</vt:lpstr>
      <vt:lpstr>'Fiktives Baujahr'!Druckbereich</vt:lpstr>
      <vt:lpstr>KPA!Druckbereich</vt:lpstr>
      <vt:lpstr>'Rechnerische THK-Erläuterung '!Druckbereich</vt:lpstr>
      <vt:lpstr>'Verweise zu GAA und BRW und VW'!Druckbereich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2013-04-09T21:15:14Z</dcterms:created>
  <cp:lastPrinted>2023-06-19T09:02:13Z</cp:lastPrinted>
  <dcterms:modified xsi:type="dcterms:W3CDTF">2025-01-29T09:02:21Z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MF_DOMEA_PROD">
    <vt:lpwstr>032EC810-0E89-11EE-AE87-CC40A577374B</vt:lpwstr>
  </property>
</Properties>
</file>